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P:\Airsci\Templates\ASI FINAL Templates\"/>
    </mc:Choice>
  </mc:AlternateContent>
  <xr:revisionPtr revIDLastSave="0" documentId="13_ncr:1_{2748C019-DB3A-4222-902F-F74C4FC4C8AC}" xr6:coauthVersionLast="47" xr6:coauthVersionMax="47" xr10:uidLastSave="{00000000-0000-0000-0000-000000000000}"/>
  <bookViews>
    <workbookView xWindow="-120" yWindow="-120" windowWidth="19440" windowHeight="10440" xr2:uid="{00000000-000D-0000-FFFF-FFFF00000000}"/>
  </bookViews>
  <sheets>
    <sheet name="Air Sciences Inc." sheetId="2" r:id="rId1"/>
    <sheet name="Cooling Tower Calculator"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 l="1"/>
  <c r="H73" i="1" l="1"/>
  <c r="E56" i="1"/>
  <c r="F56" i="1" s="1"/>
  <c r="G56" i="1" s="1"/>
  <c r="E57" i="1"/>
  <c r="F57" i="1" s="1"/>
  <c r="G57" i="1" s="1"/>
  <c r="I57" i="1" s="1"/>
  <c r="E58" i="1"/>
  <c r="F58" i="1" s="1"/>
  <c r="G58" i="1" s="1"/>
  <c r="E59" i="1"/>
  <c r="F59" i="1" s="1"/>
  <c r="G59" i="1" s="1"/>
  <c r="I59" i="1" s="1"/>
  <c r="E60" i="1"/>
  <c r="F60" i="1" s="1"/>
  <c r="G60" i="1" s="1"/>
  <c r="E61" i="1"/>
  <c r="F61" i="1" s="1"/>
  <c r="G61" i="1" s="1"/>
  <c r="I61" i="1" s="1"/>
  <c r="E62" i="1"/>
  <c r="F62" i="1" s="1"/>
  <c r="G62" i="1" s="1"/>
  <c r="E63" i="1"/>
  <c r="F63" i="1" s="1"/>
  <c r="G63" i="1" s="1"/>
  <c r="E64" i="1"/>
  <c r="F64" i="1" s="1"/>
  <c r="G64" i="1" s="1"/>
  <c r="E65" i="1"/>
  <c r="F65" i="1" s="1"/>
  <c r="G65" i="1" s="1"/>
  <c r="E66" i="1"/>
  <c r="F66" i="1" s="1"/>
  <c r="G66" i="1" s="1"/>
  <c r="E67" i="1"/>
  <c r="F67" i="1" s="1"/>
  <c r="G67" i="1" s="1"/>
  <c r="E68" i="1"/>
  <c r="F68" i="1" s="1"/>
  <c r="G68" i="1" s="1"/>
  <c r="E69" i="1"/>
  <c r="F69" i="1" s="1"/>
  <c r="G69" i="1" s="1"/>
  <c r="E70" i="1"/>
  <c r="F70" i="1" s="1"/>
  <c r="G70" i="1" s="1"/>
  <c r="E71" i="1"/>
  <c r="F71" i="1" s="1"/>
  <c r="G71" i="1" s="1"/>
  <c r="E72" i="1"/>
  <c r="F72" i="1" s="1"/>
  <c r="G72" i="1" s="1"/>
  <c r="E73" i="1"/>
  <c r="F73" i="1" s="1"/>
  <c r="G73" i="1" s="1"/>
  <c r="E74" i="1"/>
  <c r="F74" i="1" s="1"/>
  <c r="G74" i="1" s="1"/>
  <c r="E75" i="1"/>
  <c r="F75" i="1" s="1"/>
  <c r="G75" i="1" s="1"/>
  <c r="E55" i="1"/>
  <c r="F55" i="1" s="1"/>
  <c r="G55" i="1" s="1"/>
  <c r="I55" i="1" s="1"/>
  <c r="D26" i="1"/>
  <c r="D27" i="1"/>
  <c r="D28" i="1"/>
  <c r="D29" i="1"/>
  <c r="D30" i="1"/>
  <c r="D31" i="1"/>
  <c r="D32" i="1"/>
  <c r="D33" i="1"/>
  <c r="D34" i="1"/>
  <c r="D35" i="1"/>
  <c r="D36" i="1"/>
  <c r="H36" i="1" s="1"/>
  <c r="D37" i="1"/>
  <c r="D38" i="1"/>
  <c r="D39" i="1"/>
  <c r="D40" i="1"/>
  <c r="D41" i="1"/>
  <c r="D42" i="1"/>
  <c r="D43" i="1"/>
  <c r="D44" i="1"/>
  <c r="D25" i="1"/>
  <c r="D24" i="1"/>
  <c r="E25" i="1"/>
  <c r="F25" i="1" s="1"/>
  <c r="G25" i="1" s="1"/>
  <c r="E26" i="1"/>
  <c r="F26" i="1" s="1"/>
  <c r="G26" i="1" s="1"/>
  <c r="E27" i="1"/>
  <c r="F27" i="1" s="1"/>
  <c r="G27" i="1" s="1"/>
  <c r="E28" i="1"/>
  <c r="F28" i="1" s="1"/>
  <c r="G28" i="1" s="1"/>
  <c r="E29" i="1"/>
  <c r="F29" i="1" s="1"/>
  <c r="G29" i="1" s="1"/>
  <c r="E30" i="1"/>
  <c r="F30" i="1" s="1"/>
  <c r="G30" i="1" s="1"/>
  <c r="E31" i="1"/>
  <c r="F31" i="1" s="1"/>
  <c r="G31" i="1" s="1"/>
  <c r="E32" i="1"/>
  <c r="F32" i="1" s="1"/>
  <c r="G32" i="1" s="1"/>
  <c r="E33" i="1"/>
  <c r="F33" i="1" s="1"/>
  <c r="G33" i="1" s="1"/>
  <c r="E34" i="1"/>
  <c r="F34" i="1" s="1"/>
  <c r="G34" i="1" s="1"/>
  <c r="E35" i="1"/>
  <c r="F35" i="1" s="1"/>
  <c r="G35" i="1" s="1"/>
  <c r="E36" i="1"/>
  <c r="F36" i="1" s="1"/>
  <c r="G36" i="1" s="1"/>
  <c r="E37" i="1"/>
  <c r="F37" i="1" s="1"/>
  <c r="G37" i="1" s="1"/>
  <c r="E38" i="1"/>
  <c r="F38" i="1" s="1"/>
  <c r="G38" i="1" s="1"/>
  <c r="E39" i="1"/>
  <c r="F39" i="1" s="1"/>
  <c r="G39" i="1" s="1"/>
  <c r="E40" i="1"/>
  <c r="F40" i="1" s="1"/>
  <c r="G40" i="1" s="1"/>
  <c r="E41" i="1"/>
  <c r="F41" i="1" s="1"/>
  <c r="G41" i="1" s="1"/>
  <c r="E42" i="1"/>
  <c r="F42" i="1" s="1"/>
  <c r="G42" i="1" s="1"/>
  <c r="E43" i="1"/>
  <c r="F43" i="1" s="1"/>
  <c r="G43" i="1" s="1"/>
  <c r="E44" i="1"/>
  <c r="F44" i="1" s="1"/>
  <c r="G44" i="1" s="1"/>
  <c r="E24" i="1"/>
  <c r="F24" i="1" s="1"/>
  <c r="G24" i="1" s="1"/>
  <c r="J24" i="1" s="1"/>
  <c r="I26" i="1" l="1"/>
  <c r="J62" i="1"/>
  <c r="I73" i="1"/>
  <c r="I69" i="1"/>
  <c r="J36" i="1"/>
  <c r="J58" i="1"/>
  <c r="I36" i="1"/>
  <c r="J73" i="1"/>
  <c r="J70" i="1"/>
  <c r="J32" i="1"/>
  <c r="J28" i="1"/>
  <c r="J34" i="1"/>
  <c r="J26" i="1"/>
  <c r="J67" i="1"/>
  <c r="J71" i="1"/>
  <c r="J30" i="1"/>
  <c r="I65" i="1"/>
  <c r="I34" i="1"/>
  <c r="J35" i="1"/>
  <c r="J31" i="1"/>
  <c r="J27" i="1"/>
  <c r="J59" i="1"/>
  <c r="J63" i="1"/>
  <c r="I68" i="1"/>
  <c r="I72" i="1"/>
  <c r="J25" i="1"/>
  <c r="I71" i="1"/>
  <c r="J68" i="1"/>
  <c r="J72" i="1"/>
  <c r="I30" i="1"/>
  <c r="J57" i="1"/>
  <c r="J61" i="1"/>
  <c r="J65" i="1"/>
  <c r="J66" i="1"/>
  <c r="I24" i="1"/>
  <c r="I63" i="1"/>
  <c r="I32" i="1"/>
  <c r="I28" i="1"/>
  <c r="J33" i="1"/>
  <c r="J29" i="1"/>
  <c r="I67" i="1"/>
  <c r="J56" i="1"/>
  <c r="J64" i="1"/>
  <c r="I25" i="1"/>
  <c r="I29" i="1"/>
  <c r="I56" i="1"/>
  <c r="I64" i="1"/>
  <c r="I60" i="1"/>
  <c r="J55" i="1"/>
  <c r="J69" i="1"/>
  <c r="I35" i="1"/>
  <c r="I31" i="1"/>
  <c r="I27" i="1"/>
  <c r="I70" i="1"/>
  <c r="I66" i="1"/>
  <c r="I62" i="1"/>
  <c r="I58" i="1"/>
  <c r="J60" i="1"/>
  <c r="I33" i="1"/>
  <c r="D101" i="1"/>
  <c r="D96" i="1"/>
  <c r="D91" i="1"/>
  <c r="B86" i="1"/>
  <c r="H86" i="1"/>
  <c r="F91" i="1" l="1"/>
  <c r="E82" i="1"/>
  <c r="F101" i="1"/>
  <c r="F96" i="1"/>
  <c r="K86" i="1"/>
  <c r="E12" i="1" s="1"/>
  <c r="E16" i="1" l="1"/>
  <c r="E15" i="1"/>
  <c r="E17" i="1"/>
  <c r="B96" i="1"/>
  <c r="B101" i="1"/>
  <c r="B91" i="1"/>
  <c r="I101" i="1" l="1"/>
  <c r="L101" i="1" s="1"/>
  <c r="I96" i="1"/>
  <c r="L96" i="1" s="1"/>
  <c r="I91" i="1"/>
  <c r="L91" i="1" s="1"/>
</calcChain>
</file>

<file path=xl/sharedStrings.xml><?xml version="1.0" encoding="utf-8"?>
<sst xmlns="http://schemas.openxmlformats.org/spreadsheetml/2006/main" count="135" uniqueCount="76">
  <si>
    <t>Drift loss</t>
  </si>
  <si>
    <t>Circulating water flow rate</t>
  </si>
  <si>
    <t>gpm</t>
  </si>
  <si>
    <t>Total dissolved solids</t>
  </si>
  <si>
    <t>ppm</t>
  </si>
  <si>
    <t>g/cc</t>
  </si>
  <si>
    <t>Annual drift:</t>
  </si>
  <si>
    <t>Volume of a sphere</t>
  </si>
  <si>
    <t>gal water</t>
  </si>
  <si>
    <t>lb</t>
  </si>
  <si>
    <t>min</t>
  </si>
  <si>
    <t>(drift)</t>
  </si>
  <si>
    <t>=</t>
  </si>
  <si>
    <t>lb water drift</t>
  </si>
  <si>
    <t>hr</t>
  </si>
  <si>
    <t>Droplet</t>
  </si>
  <si>
    <t>Solids</t>
  </si>
  <si>
    <t>% mass</t>
  </si>
  <si>
    <t>Dia.</t>
  </si>
  <si>
    <t>Vol.</t>
  </si>
  <si>
    <t>Mass</t>
  </si>
  <si>
    <t>(micron)</t>
  </si>
  <si>
    <t>(cc)</t>
  </si>
  <si>
    <t>(g)</t>
  </si>
  <si>
    <t>Total Particulate Emissions</t>
  </si>
  <si>
    <t>lb water</t>
  </si>
  <si>
    <t>lb PM</t>
  </si>
  <si>
    <t>ton PM</t>
  </si>
  <si>
    <t>yr</t>
  </si>
  <si>
    <t>lb PM10</t>
  </si>
  <si>
    <t>ton PM10</t>
  </si>
  <si>
    <t>lb PM2.5</t>
  </si>
  <si>
    <t>ton PM2.5</t>
  </si>
  <si>
    <t>Density of TDS constituents</t>
  </si>
  <si>
    <r>
      <t>V = 4/3*π*r</t>
    </r>
    <r>
      <rPr>
        <vertAlign val="superscript"/>
        <sz val="10"/>
        <rFont val="Book Antiqua"/>
        <family val="1"/>
      </rPr>
      <t>3</t>
    </r>
  </si>
  <si>
    <t>Annual drift</t>
  </si>
  <si>
    <r>
      <t>PM</t>
    </r>
    <r>
      <rPr>
        <vertAlign val="subscript"/>
        <sz val="10"/>
        <color theme="1"/>
        <rFont val="Book Antiqua"/>
        <family val="1"/>
      </rPr>
      <t>10</t>
    </r>
    <r>
      <rPr>
        <sz val="10"/>
        <color theme="1"/>
        <rFont val="Book Antiqua"/>
        <family val="1"/>
      </rPr>
      <t xml:space="preserve"> Emissions</t>
    </r>
  </si>
  <si>
    <r>
      <t>PM</t>
    </r>
    <r>
      <rPr>
        <vertAlign val="subscript"/>
        <sz val="10"/>
        <color theme="1"/>
        <rFont val="Book Antiqua"/>
        <family val="1"/>
      </rPr>
      <t>2.5</t>
    </r>
    <r>
      <rPr>
        <sz val="10"/>
        <color theme="1"/>
        <rFont val="Book Antiqua"/>
        <family val="1"/>
      </rPr>
      <t xml:space="preserve"> Emissions</t>
    </r>
  </si>
  <si>
    <t>Water Drop Size Distribution for Low Efficiency Drift Eliminators*</t>
  </si>
  <si>
    <t>Based on a drift rate of 0.001%</t>
  </si>
  <si>
    <r>
      <t>H</t>
    </r>
    <r>
      <rPr>
        <vertAlign val="subscript"/>
        <sz val="10"/>
        <rFont val="Book Antiqua"/>
        <family val="1"/>
      </rPr>
      <t>2</t>
    </r>
    <r>
      <rPr>
        <sz val="10"/>
        <rFont val="Book Antiqua"/>
        <family val="1"/>
      </rPr>
      <t>O Droplet</t>
    </r>
  </si>
  <si>
    <t>PM</t>
  </si>
  <si>
    <t>(lb/hr)</t>
  </si>
  <si>
    <t>Emissions</t>
  </si>
  <si>
    <t>smaller</t>
  </si>
  <si>
    <t>Water Drop Size Distribution for High Efficiency Drift Eliminators*</t>
  </si>
  <si>
    <t>Based on a drift rate of 0.0003%</t>
  </si>
  <si>
    <t xml:space="preserve">* EPA.  1979.  Effects of Pathogenic and Toxic Material Transport Via Cooling Device Drift - Vol. 1 </t>
  </si>
  <si>
    <t>Technical Report.  EPA-600/7-79-251a.  November 1979.</t>
  </si>
  <si>
    <t xml:space="preserve">Environmental Progress &amp; Sustainable Energy.  American Institute of Chemical Engineers.  Volume 21, </t>
  </si>
  <si>
    <t>Issue 2, pp. 127-130.  July 2002.</t>
  </si>
  <si>
    <t xml:space="preserve">* Reisman, J. and G. Frisbie.  2002.  “Calculating Realistic PM10 Emissions from Cooling Towers.”  </t>
  </si>
  <si>
    <t>EXAMPLE CALCULATIONS:</t>
  </si>
  <si>
    <t>ton/yr</t>
  </si>
  <si>
    <t>ANNUAL EMISSIONS:</t>
  </si>
  <si>
    <t>COOLING TOWER SPECIFICATIONS:</t>
  </si>
  <si>
    <r>
      <t>PM</t>
    </r>
    <r>
      <rPr>
        <b/>
        <vertAlign val="subscript"/>
        <sz val="10"/>
        <rFont val="Book Antiqua"/>
        <family val="1"/>
      </rPr>
      <t>10</t>
    </r>
    <r>
      <rPr>
        <b/>
        <sz val="10"/>
        <rFont val="Book Antiqua"/>
        <family val="1"/>
      </rPr>
      <t xml:space="preserve"> Emissions</t>
    </r>
  </si>
  <si>
    <r>
      <t>PM</t>
    </r>
    <r>
      <rPr>
        <b/>
        <vertAlign val="subscript"/>
        <sz val="10"/>
        <rFont val="Book Antiqua"/>
        <family val="1"/>
      </rPr>
      <t>2.5</t>
    </r>
    <r>
      <rPr>
        <b/>
        <sz val="10"/>
        <rFont val="Book Antiqua"/>
        <family val="1"/>
      </rPr>
      <t xml:space="preserve"> Emissions</t>
    </r>
  </si>
  <si>
    <t>Average density of common salts (CaCO3, CaSO4, CaCl2, NaCl, Na2SO4, Na2CO3)</t>
  </si>
  <si>
    <t>Enter specifications into blue cells</t>
  </si>
  <si>
    <r>
      <t>PM</t>
    </r>
    <r>
      <rPr>
        <vertAlign val="subscript"/>
        <sz val="10"/>
        <rFont val="Book Antiqua"/>
        <family val="1"/>
      </rPr>
      <t>10</t>
    </r>
  </si>
  <si>
    <r>
      <t>PM</t>
    </r>
    <r>
      <rPr>
        <vertAlign val="subscript"/>
        <sz val="10"/>
        <rFont val="Book Antiqua"/>
        <family val="1"/>
      </rPr>
      <t>2.5</t>
    </r>
  </si>
  <si>
    <t>** Maximum droplet size governed by atmospheric dispersion.  Larger droplets fall to the ground before</t>
  </si>
  <si>
    <t xml:space="preserve">evaporating into a particle (EPA 1979).  </t>
  </si>
  <si>
    <t>Cooling Tower Particulate Air Emissions Calculator</t>
  </si>
  <si>
    <t>150 Capital Drive, Suite 320, Golden, CO  80401</t>
  </si>
  <si>
    <t>303-988-2960</t>
  </si>
  <si>
    <t>Portland Office</t>
  </si>
  <si>
    <t>Denver Office</t>
  </si>
  <si>
    <t>503-525-9394</t>
  </si>
  <si>
    <t>http://airsci.com/</t>
  </si>
  <si>
    <r>
      <t>lb H</t>
    </r>
    <r>
      <rPr>
        <vertAlign val="subscript"/>
        <sz val="10"/>
        <color theme="1"/>
        <rFont val="Book Antiqua"/>
        <family val="1"/>
      </rPr>
      <t>2</t>
    </r>
    <r>
      <rPr>
        <sz val="10"/>
        <color theme="1"/>
        <rFont val="Book Antiqua"/>
        <family val="1"/>
      </rPr>
      <t>O/hr</t>
    </r>
  </si>
  <si>
    <t>We are here to help!</t>
  </si>
  <si>
    <r>
      <t>This workbook calculates the particulate (PM) emissions and size fractions (PM</t>
    </r>
    <r>
      <rPr>
        <vertAlign val="subscript"/>
        <sz val="12"/>
        <color theme="1"/>
        <rFont val="Book Antiqua"/>
        <family val="1"/>
      </rPr>
      <t>10</t>
    </r>
    <r>
      <rPr>
        <sz val="12"/>
        <color theme="1"/>
        <rFont val="Book Antiqua"/>
        <family val="1"/>
      </rPr>
      <t xml:space="preserve"> and PM</t>
    </r>
    <r>
      <rPr>
        <vertAlign val="subscript"/>
        <sz val="12"/>
        <color theme="1"/>
        <rFont val="Book Antiqua"/>
        <family val="1"/>
      </rPr>
      <t>2.5</t>
    </r>
    <r>
      <rPr>
        <sz val="12"/>
        <color theme="1"/>
        <rFont val="Book Antiqua"/>
        <family val="1"/>
      </rPr>
      <t xml:space="preserve">) from cooling tower water drift.  The premise of this calculation is that each water droplet emitted from cooling tower drift loss evaporates, leaving a single particle.  The size of that particle is determined by the size of the water droplet, the concentration of the total dissolved solids (TDS) in the droplet, and the density of TDS constituents.
Air Sciences Inc. specializes in air pollution compliance, air quality consulting, and environmental consulting.  Since 1980, we have worked with industry and government clients.  Industry sectors have included minerals extraction and refining, power production, natural gas processing, chemical manufacturing, painting processes, and pesticide formulation.  Government work has included fire emissions modeling and fire effects model development for federal land managers, and studies of dust movement, modeling, and mitigation for the EPA.  
Air Sciences’ in-house services include ambient and meteorological monitoring, regulatory interpretation and application, permitting and compliance, emission inventories, air quality impact assessment, air dispersion and visibility modeling, forest ecology and fire science work, pollution control technology, chemical and process engineering, and data analysis.  Our staff of scientists and engineers specialize in air quality, stay informed of changing technologies and regulations, and are committed to customer service while working in the most efficient and cost-effective manner possible.  </t>
    </r>
  </si>
  <si>
    <t>Need air quality consulting services?</t>
  </si>
  <si>
    <t>1120 SE Madison St. Portland, OR  97214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</si>
</sst>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
    <numFmt numFmtId="165" formatCode="0.0%"/>
    <numFmt numFmtId="166" formatCode="0.0E+00;\⡌"/>
    <numFmt numFmtId="167" formatCode="0.0"/>
    <numFmt numFmtId="168" formatCode="##0E+0"/>
    <numFmt numFmtId="169" formatCode="0&quot;**&quot;"/>
    <numFmt numFmtId="170" formatCode="0.000"/>
    <numFmt numFmtId="171" formatCode="#,##0.0"/>
    <numFmt numFmtId="172" formatCode="#,##0.000"/>
    <numFmt numFmtId="173" formatCode="0.0000%"/>
  </numFmts>
  <fonts count="21" x14ac:knownFonts="1">
    <font>
      <sz val="11"/>
      <color theme="1"/>
      <name val="Calibri"/>
      <family val="2"/>
      <scheme val="minor"/>
    </font>
    <font>
      <sz val="11"/>
      <color theme="1"/>
      <name val="Calibri"/>
      <family val="2"/>
      <scheme val="minor"/>
    </font>
    <font>
      <sz val="10"/>
      <name val="Book Antiqua"/>
      <family val="1"/>
    </font>
    <font>
      <b/>
      <sz val="10"/>
      <name val="Book Antiqua"/>
      <family val="1"/>
    </font>
    <font>
      <i/>
      <sz val="10"/>
      <name val="Book Antiqua"/>
      <family val="1"/>
    </font>
    <font>
      <sz val="10"/>
      <color rgb="FF0070C0"/>
      <name val="Book Antiqua"/>
      <family val="1"/>
    </font>
    <font>
      <vertAlign val="superscript"/>
      <sz val="10"/>
      <name val="Book Antiqua"/>
      <family val="1"/>
    </font>
    <font>
      <u/>
      <sz val="10"/>
      <name val="Book Antiqua"/>
      <family val="1"/>
    </font>
    <font>
      <sz val="10"/>
      <color theme="1"/>
      <name val="Book Antiqua"/>
      <family val="1"/>
    </font>
    <font>
      <vertAlign val="subscript"/>
      <sz val="10"/>
      <color theme="1"/>
      <name val="Book Antiqua"/>
      <family val="1"/>
    </font>
    <font>
      <vertAlign val="subscript"/>
      <sz val="10"/>
      <name val="Book Antiqua"/>
      <family val="1"/>
    </font>
    <font>
      <i/>
      <sz val="10"/>
      <color theme="1"/>
      <name val="Book Antiqua"/>
      <family val="1"/>
    </font>
    <font>
      <b/>
      <sz val="10"/>
      <color theme="1"/>
      <name val="Book Antiqua"/>
      <family val="1"/>
    </font>
    <font>
      <b/>
      <sz val="10"/>
      <color rgb="FFFF0000"/>
      <name val="Book Antiqua"/>
      <family val="1"/>
    </font>
    <font>
      <b/>
      <vertAlign val="subscript"/>
      <sz val="10"/>
      <name val="Book Antiqua"/>
      <family val="1"/>
    </font>
    <font>
      <b/>
      <sz val="14"/>
      <color theme="1"/>
      <name val="Book Antiqua"/>
      <family val="1"/>
    </font>
    <font>
      <sz val="11"/>
      <color theme="1"/>
      <name val="Book Antiqua"/>
      <family val="1"/>
    </font>
    <font>
      <sz val="12"/>
      <color theme="1"/>
      <name val="Book Antiqua"/>
      <family val="1"/>
    </font>
    <font>
      <b/>
      <sz val="16"/>
      <color theme="1"/>
      <name val="Book Antiqua"/>
      <family val="1"/>
    </font>
    <font>
      <vertAlign val="subscript"/>
      <sz val="12"/>
      <color theme="1"/>
      <name val="Book Antiqua"/>
      <family val="1"/>
    </font>
    <font>
      <b/>
      <sz val="18"/>
      <color theme="1"/>
      <name val="Book Antiqua"/>
      <family val="1"/>
    </font>
  </fonts>
  <fills count="4">
    <fill>
      <patternFill patternType="none"/>
    </fill>
    <fill>
      <patternFill patternType="gray125"/>
    </fill>
    <fill>
      <patternFill patternType="solid">
        <fgColor theme="7" tint="0.79998168889431442"/>
        <bgColor indexed="64"/>
      </patternFill>
    </fill>
    <fill>
      <patternFill patternType="solid">
        <fgColor rgb="FF92D050"/>
        <bgColor indexed="64"/>
      </patternFill>
    </fill>
  </fills>
  <borders count="10">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double">
        <color indexed="64"/>
      </top>
      <bottom/>
      <diagonal/>
    </border>
    <border>
      <left/>
      <right/>
      <top/>
      <bottom style="double">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4">
    <xf numFmtId="0" fontId="0" fillId="0" borderId="0" xfId="0"/>
    <xf numFmtId="0" fontId="16" fillId="0" borderId="0" xfId="0" applyFont="1"/>
    <xf numFmtId="0" fontId="15" fillId="0" borderId="0" xfId="0" applyFont="1" applyAlignment="1">
      <alignment horizontal="center"/>
    </xf>
    <xf numFmtId="0" fontId="16" fillId="0" borderId="0" xfId="0" applyFont="1" applyAlignment="1">
      <alignment horizontal="center" wrapText="1"/>
    </xf>
    <xf numFmtId="0" fontId="15" fillId="0" borderId="0" xfId="0" applyFont="1" applyAlignment="1">
      <alignment horizontal="center" wrapText="1"/>
    </xf>
    <xf numFmtId="0" fontId="18" fillId="0" borderId="0" xfId="0" applyFont="1" applyAlignment="1">
      <alignment horizontal="center" wrapText="1"/>
    </xf>
    <xf numFmtId="0" fontId="17" fillId="0" borderId="0" xfId="0" applyFont="1" applyAlignment="1">
      <alignment horizontal="center"/>
    </xf>
    <xf numFmtId="0" fontId="17" fillId="0" borderId="0" xfId="0" applyFont="1"/>
    <xf numFmtId="0" fontId="17" fillId="0" borderId="0" xfId="0" applyFont="1" applyAlignment="1">
      <alignment horizontal="justify" wrapText="1"/>
    </xf>
    <xf numFmtId="0" fontId="18" fillId="0" borderId="0" xfId="0" applyFont="1" applyAlignment="1">
      <alignment horizontal="center"/>
    </xf>
    <xf numFmtId="0" fontId="8" fillId="0" borderId="0" xfId="0" applyFont="1"/>
    <xf numFmtId="0" fontId="20" fillId="0" borderId="0" xfId="0" applyFont="1" applyAlignment="1">
      <alignment vertical="center"/>
    </xf>
    <xf numFmtId="0" fontId="8" fillId="0" borderId="0" xfId="0" applyFont="1" applyAlignment="1">
      <alignment vertical="center"/>
    </xf>
    <xf numFmtId="0" fontId="13" fillId="0" borderId="0" xfId="1" applyFont="1"/>
    <xf numFmtId="0" fontId="2" fillId="0" borderId="0" xfId="1" applyFont="1"/>
    <xf numFmtId="0" fontId="3" fillId="0" borderId="0" xfId="1" applyFont="1"/>
    <xf numFmtId="0" fontId="2" fillId="0" borderId="0" xfId="1" applyFont="1" applyAlignment="1">
      <alignment horizontal="left"/>
    </xf>
    <xf numFmtId="0" fontId="4" fillId="0" borderId="0" xfId="1" applyFont="1"/>
    <xf numFmtId="0" fontId="4" fillId="0" borderId="0" xfId="1" applyFont="1" applyAlignment="1">
      <alignment horizontal="left"/>
    </xf>
    <xf numFmtId="3" fontId="2" fillId="0" borderId="0" xfId="1" applyNumberFormat="1" applyFont="1"/>
    <xf numFmtId="171" fontId="5" fillId="0" borderId="0" xfId="1" applyNumberFormat="1" applyFont="1"/>
    <xf numFmtId="0" fontId="5" fillId="0" borderId="0" xfId="1" applyFont="1"/>
    <xf numFmtId="170" fontId="3" fillId="3" borderId="6" xfId="1" applyNumberFormat="1" applyFont="1" applyFill="1" applyBorder="1"/>
    <xf numFmtId="0" fontId="12" fillId="0" borderId="0" xfId="0" applyFont="1"/>
    <xf numFmtId="0" fontId="2" fillId="0" borderId="0" xfId="1" quotePrefix="1" applyFont="1" applyAlignment="1">
      <alignment horizontal="left"/>
    </xf>
    <xf numFmtId="0" fontId="3" fillId="0" borderId="0" xfId="1" applyFont="1" applyAlignment="1">
      <alignment horizontal="left"/>
    </xf>
    <xf numFmtId="0" fontId="7" fillId="0" borderId="0" xfId="1" applyFont="1" applyAlignment="1">
      <alignment horizontal="centerContinuous"/>
    </xf>
    <xf numFmtId="0" fontId="2" fillId="0" borderId="4" xfId="1" applyFont="1" applyBorder="1" applyAlignment="1">
      <alignment horizontal="center"/>
    </xf>
    <xf numFmtId="0" fontId="2" fillId="0" borderId="4" xfId="1" applyFont="1" applyBorder="1"/>
    <xf numFmtId="0" fontId="2" fillId="0" borderId="4" xfId="1" applyFont="1" applyBorder="1" applyAlignment="1">
      <alignment horizontal="centerContinuous"/>
    </xf>
    <xf numFmtId="0" fontId="8" fillId="0" borderId="4" xfId="0" applyFont="1" applyBorder="1" applyAlignment="1">
      <alignment horizontal="centerContinuous"/>
    </xf>
    <xf numFmtId="0" fontId="2" fillId="0" borderId="0" xfId="1" applyFont="1" applyAlignment="1">
      <alignment horizontal="center"/>
    </xf>
    <xf numFmtId="0" fontId="2" fillId="0" borderId="5" xfId="1" applyFont="1" applyBorder="1" applyAlignment="1">
      <alignment horizontal="center"/>
    </xf>
    <xf numFmtId="0" fontId="5" fillId="0" borderId="4" xfId="1" applyFont="1" applyBorder="1" applyAlignment="1">
      <alignment horizontal="center"/>
    </xf>
    <xf numFmtId="166" fontId="2" fillId="0" borderId="4" xfId="1" applyNumberFormat="1" applyFont="1" applyBorder="1" applyAlignment="1">
      <alignment horizontal="center"/>
    </xf>
    <xf numFmtId="167" fontId="2" fillId="0" borderId="4" xfId="1" applyNumberFormat="1" applyFont="1" applyBorder="1" applyAlignment="1">
      <alignment horizontal="center"/>
    </xf>
    <xf numFmtId="172" fontId="8" fillId="0" borderId="0" xfId="0" applyNumberFormat="1" applyFont="1" applyAlignment="1">
      <alignment horizontal="center"/>
    </xf>
    <xf numFmtId="165" fontId="8" fillId="0" borderId="0" xfId="0" applyNumberFormat="1" applyFont="1" applyAlignment="1">
      <alignment horizontal="center"/>
    </xf>
    <xf numFmtId="167" fontId="2" fillId="0" borderId="0" xfId="1" applyNumberFormat="1" applyFont="1" applyAlignment="1">
      <alignment horizontal="center"/>
    </xf>
    <xf numFmtId="0" fontId="5" fillId="0" borderId="0" xfId="1" applyFont="1" applyAlignment="1">
      <alignment horizontal="center"/>
    </xf>
    <xf numFmtId="166" fontId="2" fillId="0" borderId="0" xfId="1" applyNumberFormat="1" applyFont="1" applyAlignment="1">
      <alignment horizontal="center"/>
    </xf>
    <xf numFmtId="169" fontId="5" fillId="0" borderId="0" xfId="1" applyNumberFormat="1" applyFont="1" applyAlignment="1">
      <alignment horizontal="center"/>
    </xf>
    <xf numFmtId="2" fontId="5" fillId="0" borderId="0" xfId="1" applyNumberFormat="1" applyFont="1" applyAlignment="1">
      <alignment horizontal="center"/>
    </xf>
    <xf numFmtId="3" fontId="5" fillId="0" borderId="0" xfId="1" applyNumberFormat="1" applyFont="1" applyAlignment="1">
      <alignment horizontal="center"/>
    </xf>
    <xf numFmtId="0" fontId="3" fillId="0" borderId="0" xfId="1" quotePrefix="1" applyFont="1" applyAlignment="1">
      <alignment horizontal="left"/>
    </xf>
    <xf numFmtId="3" fontId="5" fillId="0" borderId="5" xfId="1" applyNumberFormat="1" applyFont="1" applyBorder="1" applyAlignment="1">
      <alignment horizontal="center"/>
    </xf>
    <xf numFmtId="0" fontId="5" fillId="0" borderId="5" xfId="1" applyFont="1" applyBorder="1" applyAlignment="1">
      <alignment horizontal="center"/>
    </xf>
    <xf numFmtId="166" fontId="2" fillId="0" borderId="5" xfId="1" applyNumberFormat="1" applyFont="1" applyBorder="1" applyAlignment="1">
      <alignment horizontal="center"/>
    </xf>
    <xf numFmtId="167" fontId="2" fillId="0" borderId="5" xfId="1" applyNumberFormat="1" applyFont="1" applyBorder="1" applyAlignment="1">
      <alignment horizontal="center"/>
    </xf>
    <xf numFmtId="172" fontId="8" fillId="0" borderId="5" xfId="0" applyNumberFormat="1" applyFont="1" applyBorder="1" applyAlignment="1">
      <alignment horizontal="center"/>
    </xf>
    <xf numFmtId="165" fontId="8" fillId="0" borderId="5" xfId="0" applyNumberFormat="1" applyFont="1" applyBorder="1" applyAlignment="1">
      <alignment horizontal="center"/>
    </xf>
    <xf numFmtId="0" fontId="3" fillId="0" borderId="0" xfId="1" applyFont="1" applyAlignment="1">
      <alignment horizontal="right"/>
    </xf>
    <xf numFmtId="170" fontId="3" fillId="0" borderId="0" xfId="1" applyNumberFormat="1" applyFont="1"/>
    <xf numFmtId="0" fontId="3" fillId="0" borderId="4" xfId="1" applyFont="1" applyBorder="1" applyAlignment="1">
      <alignment horizontal="center"/>
    </xf>
    <xf numFmtId="0" fontId="3" fillId="0" borderId="4" xfId="1" applyFont="1" applyBorder="1"/>
    <xf numFmtId="0" fontId="3" fillId="0" borderId="0" xfId="1" applyFont="1" applyAlignment="1">
      <alignment horizontal="center"/>
    </xf>
    <xf numFmtId="0" fontId="8" fillId="0" borderId="4" xfId="0" applyFont="1" applyBorder="1"/>
    <xf numFmtId="165" fontId="8" fillId="0" borderId="4" xfId="0" applyNumberFormat="1" applyFont="1" applyBorder="1" applyAlignment="1">
      <alignment horizontal="center"/>
    </xf>
    <xf numFmtId="0" fontId="8" fillId="0" borderId="5" xfId="0" applyFont="1" applyBorder="1"/>
    <xf numFmtId="0" fontId="11" fillId="0" borderId="0" xfId="0" applyFont="1"/>
    <xf numFmtId="0" fontId="13" fillId="0" borderId="0" xfId="0" applyFont="1"/>
    <xf numFmtId="3" fontId="2" fillId="0" borderId="1" xfId="1" applyNumberFormat="1" applyFont="1" applyBorder="1"/>
    <xf numFmtId="0" fontId="2" fillId="0" borderId="1" xfId="1" quotePrefix="1" applyFont="1" applyBorder="1" applyAlignment="1">
      <alignment horizontal="left"/>
    </xf>
    <xf numFmtId="0" fontId="5" fillId="0" borderId="2" xfId="1" applyFont="1" applyBorder="1"/>
    <xf numFmtId="0" fontId="2" fillId="0" borderId="1" xfId="1" applyFont="1" applyBorder="1"/>
    <xf numFmtId="0" fontId="2" fillId="0" borderId="1" xfId="1" applyFont="1" applyBorder="1" applyAlignment="1">
      <alignment horizontal="left"/>
    </xf>
    <xf numFmtId="164" fontId="2" fillId="0" borderId="2" xfId="1" applyNumberFormat="1" applyFont="1" applyBorder="1"/>
    <xf numFmtId="0" fontId="2" fillId="0" borderId="0" xfId="1" quotePrefix="1" applyFont="1" applyAlignment="1">
      <alignment horizontal="center"/>
    </xf>
    <xf numFmtId="0" fontId="5" fillId="0" borderId="3" xfId="1" applyFont="1" applyBorder="1"/>
    <xf numFmtId="0" fontId="2" fillId="0" borderId="3" xfId="1" applyFont="1" applyBorder="1"/>
    <xf numFmtId="1" fontId="2" fillId="0" borderId="1" xfId="1" applyNumberFormat="1" applyFont="1" applyBorder="1"/>
    <xf numFmtId="3" fontId="2" fillId="0" borderId="2" xfId="1" applyNumberFormat="1" applyFont="1" applyBorder="1"/>
    <xf numFmtId="165" fontId="2" fillId="0" borderId="2" xfId="1" applyNumberFormat="1" applyFont="1" applyBorder="1"/>
    <xf numFmtId="170" fontId="2" fillId="0" borderId="1" xfId="1" applyNumberFormat="1" applyFont="1" applyBorder="1"/>
    <xf numFmtId="170" fontId="3" fillId="0" borderId="1" xfId="1" applyNumberFormat="1" applyFont="1" applyBorder="1"/>
    <xf numFmtId="0" fontId="3" fillId="0" borderId="1" xfId="1" quotePrefix="1" applyFont="1" applyBorder="1" applyAlignment="1">
      <alignment horizontal="left"/>
    </xf>
    <xf numFmtId="168" fontId="2" fillId="0" borderId="3" xfId="1" applyNumberFormat="1" applyFont="1" applyBorder="1"/>
    <xf numFmtId="170" fontId="2" fillId="0" borderId="0" xfId="1" applyNumberFormat="1" applyFont="1"/>
    <xf numFmtId="173" fontId="5" fillId="2" borderId="6" xfId="1" applyNumberFormat="1" applyFont="1" applyFill="1" applyBorder="1" applyProtection="1">
      <protection locked="0"/>
    </xf>
    <xf numFmtId="3" fontId="5" fillId="2" borderId="6" xfId="1" applyNumberFormat="1" applyFont="1" applyFill="1" applyBorder="1" applyProtection="1">
      <protection locked="0"/>
    </xf>
    <xf numFmtId="3" fontId="5" fillId="2" borderId="7" xfId="1" applyNumberFormat="1" applyFont="1" applyFill="1" applyBorder="1" applyProtection="1">
      <protection locked="0"/>
    </xf>
    <xf numFmtId="171" fontId="5" fillId="0" borderId="0" xfId="1" applyNumberFormat="1" applyFont="1" applyProtection="1">
      <protection locked="0"/>
    </xf>
    <xf numFmtId="0" fontId="8" fillId="0" borderId="8" xfId="0" applyFont="1" applyBorder="1" applyAlignment="1">
      <alignment horizontal="center"/>
    </xf>
    <xf numFmtId="0" fontId="8" fillId="0" borderId="9" xfId="0" applyFont="1" applyBorder="1" applyAlignment="1">
      <alignment horizontal="center"/>
    </xf>
  </cellXfs>
  <cellStyles count="2">
    <cellStyle name="Normal" xfId="0" builtinId="0"/>
    <cellStyle name="Normal 2" xfId="1" xr:uid="{00000000-0005-0000-0000-000001000000}"/>
  </cellStyles>
  <dxfs count="1">
    <dxf>
      <font>
        <color auto="1"/>
      </font>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1752600</xdr:colOff>
      <xdr:row>0</xdr:row>
      <xdr:rowOff>65315</xdr:rowOff>
    </xdr:from>
    <xdr:to>
      <xdr:col>1</xdr:col>
      <xdr:colOff>3683837</xdr:colOff>
      <xdr:row>0</xdr:row>
      <xdr:rowOff>1283345</xdr:rowOff>
    </xdr:to>
    <xdr:pic>
      <xdr:nvPicPr>
        <xdr:cNvPr id="20" name="Picture 19">
          <a:extLst>
            <a:ext uri="{FF2B5EF4-FFF2-40B4-BE49-F238E27FC236}">
              <a16:creationId xmlns:a16="http://schemas.microsoft.com/office/drawing/2014/main" id="{0756261A-CB12-48DC-AF53-CE5D8C0AF3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43150" y="65315"/>
          <a:ext cx="1931237" cy="12180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76200</xdr:rowOff>
    </xdr:from>
    <xdr:to>
      <xdr:col>3</xdr:col>
      <xdr:colOff>454862</xdr:colOff>
      <xdr:row>0</xdr:row>
      <xdr:rowOff>1294230</xdr:rowOff>
    </xdr:to>
    <xdr:pic>
      <xdr:nvPicPr>
        <xdr:cNvPr id="2" name="Picture 1">
          <a:extLst>
            <a:ext uri="{FF2B5EF4-FFF2-40B4-BE49-F238E27FC236}">
              <a16:creationId xmlns:a16="http://schemas.microsoft.com/office/drawing/2014/main" id="{CF718BD2-16A5-4ABB-963F-F22EE70526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050" y="76200"/>
          <a:ext cx="1931237" cy="12180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7"/>
  <sheetViews>
    <sheetView showGridLines="0" showRowColHeaders="0" tabSelected="1" zoomScaleNormal="100" zoomScaleSheetLayoutView="70" workbookViewId="0">
      <selection activeCell="B16" sqref="B16"/>
    </sheetView>
  </sheetViews>
  <sheetFormatPr defaultColWidth="8.85546875" defaultRowHeight="16.5" x14ac:dyDescent="0.3"/>
  <cols>
    <col min="1" max="1" width="8.85546875" style="1"/>
    <col min="2" max="2" width="82.140625" style="1" customWidth="1"/>
    <col min="3" max="16384" width="8.85546875" style="1"/>
  </cols>
  <sheetData>
    <row r="1" spans="2:2" ht="111" customHeight="1" x14ac:dyDescent="0.3"/>
    <row r="2" spans="2:2" ht="20.25" x14ac:dyDescent="0.3">
      <c r="B2" s="9" t="s">
        <v>64</v>
      </c>
    </row>
    <row r="4" spans="2:2" ht="397.5" x14ac:dyDescent="0.3">
      <c r="B4" s="8" t="s">
        <v>73</v>
      </c>
    </row>
    <row r="5" spans="2:2" x14ac:dyDescent="0.3">
      <c r="B5" s="7"/>
    </row>
    <row r="6" spans="2:2" ht="20.25" x14ac:dyDescent="0.3">
      <c r="B6" s="5" t="s">
        <v>74</v>
      </c>
    </row>
    <row r="7" spans="2:2" ht="20.25" x14ac:dyDescent="0.3">
      <c r="B7" s="5" t="s">
        <v>72</v>
      </c>
    </row>
    <row r="8" spans="2:2" x14ac:dyDescent="0.3">
      <c r="B8" s="3"/>
    </row>
    <row r="9" spans="2:2" ht="20.25" x14ac:dyDescent="0.3">
      <c r="B9" s="5" t="s">
        <v>70</v>
      </c>
    </row>
    <row r="11" spans="2:2" ht="18.75" x14ac:dyDescent="0.3">
      <c r="B11" s="4" t="s">
        <v>68</v>
      </c>
    </row>
    <row r="12" spans="2:2" x14ac:dyDescent="0.3">
      <c r="B12" s="6" t="s">
        <v>65</v>
      </c>
    </row>
    <row r="13" spans="2:2" x14ac:dyDescent="0.3">
      <c r="B13" s="6" t="s">
        <v>66</v>
      </c>
    </row>
    <row r="14" spans="2:2" x14ac:dyDescent="0.3">
      <c r="B14" s="7"/>
    </row>
    <row r="15" spans="2:2" ht="18.75" x14ac:dyDescent="0.3">
      <c r="B15" s="2" t="s">
        <v>67</v>
      </c>
    </row>
    <row r="16" spans="2:2" x14ac:dyDescent="0.3">
      <c r="B16" s="6" t="s">
        <v>75</v>
      </c>
    </row>
    <row r="17" spans="2:2" x14ac:dyDescent="0.3">
      <c r="B17" s="6" t="s">
        <v>69</v>
      </c>
    </row>
  </sheetData>
  <sheetProtection selectLockedCells="1" selectUnlockedCells="1"/>
  <printOptions horizontalCentered="1"/>
  <pageMargins left="0.7" right="0.7" top="0.75" bottom="0.75" header="0.3" footer="0.3"/>
  <pageSetup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E102"/>
  <sheetViews>
    <sheetView view="pageBreakPreview" zoomScaleNormal="100" zoomScaleSheetLayoutView="100" workbookViewId="0">
      <selection activeCell="K1" sqref="K1"/>
    </sheetView>
  </sheetViews>
  <sheetFormatPr defaultColWidth="9.140625" defaultRowHeight="13.5" x14ac:dyDescent="0.25"/>
  <cols>
    <col min="1" max="1" width="4.140625" style="10" customWidth="1"/>
    <col min="2" max="4" width="9.140625" style="10"/>
    <col min="5" max="5" width="11.140625" style="10" customWidth="1"/>
    <col min="6" max="12" width="9.140625" style="10"/>
    <col min="13" max="13" width="12" style="10" customWidth="1"/>
    <col min="14" max="16384" width="9.140625" style="10"/>
  </cols>
  <sheetData>
    <row r="1" spans="2:31" ht="108" customHeight="1" x14ac:dyDescent="0.25">
      <c r="E1" s="11" t="s">
        <v>64</v>
      </c>
      <c r="F1" s="11"/>
    </row>
    <row r="2" spans="2:31" s="12" customFormat="1" ht="15.75" customHeight="1" x14ac:dyDescent="0.25"/>
    <row r="3" spans="2:31" ht="15" x14ac:dyDescent="0.3">
      <c r="B3" s="13" t="s">
        <v>55</v>
      </c>
      <c r="C3" s="14"/>
      <c r="D3" s="14"/>
      <c r="E3" s="14"/>
      <c r="F3" s="14"/>
      <c r="G3" s="15"/>
      <c r="H3" s="15"/>
      <c r="I3" s="14"/>
      <c r="J3" s="14"/>
      <c r="K3" s="14"/>
      <c r="L3" s="14"/>
      <c r="M3" s="14"/>
      <c r="N3" s="14"/>
      <c r="O3" s="14"/>
      <c r="P3" s="14"/>
      <c r="Q3" s="14"/>
      <c r="R3" s="14"/>
      <c r="S3" s="14"/>
      <c r="T3" s="14"/>
      <c r="U3" s="14"/>
      <c r="V3" s="14"/>
      <c r="W3" s="14"/>
      <c r="X3" s="14"/>
      <c r="Y3" s="14"/>
      <c r="Z3" s="14"/>
      <c r="AA3" s="14"/>
      <c r="AB3" s="14"/>
      <c r="AC3" s="14"/>
      <c r="AD3" s="14"/>
      <c r="AE3" s="14"/>
    </row>
    <row r="4" spans="2:31" ht="15" x14ac:dyDescent="0.3">
      <c r="B4" s="15" t="s">
        <v>59</v>
      </c>
      <c r="C4" s="14"/>
      <c r="D4" s="14"/>
      <c r="E4" s="14"/>
      <c r="F4" s="14"/>
      <c r="G4" s="15"/>
      <c r="H4" s="15"/>
      <c r="I4" s="14"/>
      <c r="J4" s="14"/>
      <c r="K4" s="14"/>
      <c r="L4" s="14"/>
      <c r="M4" s="14"/>
      <c r="N4" s="14"/>
      <c r="O4" s="14"/>
      <c r="P4" s="14"/>
      <c r="Q4" s="14"/>
      <c r="R4" s="14"/>
      <c r="S4" s="14"/>
      <c r="T4" s="14"/>
      <c r="U4" s="14"/>
      <c r="V4" s="14"/>
      <c r="W4" s="14"/>
      <c r="X4" s="14"/>
      <c r="Y4" s="14"/>
      <c r="Z4" s="14"/>
      <c r="AA4" s="14"/>
      <c r="AB4" s="14"/>
      <c r="AC4" s="14"/>
      <c r="AD4" s="14"/>
      <c r="AE4" s="14"/>
    </row>
    <row r="5" spans="2:31" ht="15" x14ac:dyDescent="0.3">
      <c r="B5" s="16" t="s">
        <v>0</v>
      </c>
      <c r="C5" s="14"/>
      <c r="D5" s="14"/>
      <c r="E5" s="78">
        <v>5.0000000000000004E-6</v>
      </c>
      <c r="F5" s="14"/>
      <c r="G5" s="82" t="str">
        <f>IF(E5&lt;0.001%,"High Efficiency",IF(E5&gt;=0.001%,"Low Efficiency","CHECK DRIFT LOSS"))</f>
        <v>High Efficiency</v>
      </c>
      <c r="H5" s="83"/>
      <c r="I5" s="14"/>
      <c r="J5" s="14"/>
      <c r="K5" s="14"/>
      <c r="L5" s="14"/>
      <c r="M5" s="14"/>
      <c r="N5" s="14"/>
      <c r="O5" s="14"/>
      <c r="P5" s="14"/>
      <c r="Q5" s="14"/>
      <c r="R5" s="14"/>
      <c r="S5" s="14"/>
      <c r="T5" s="15"/>
      <c r="U5" s="14"/>
      <c r="V5" s="14"/>
      <c r="W5" s="14"/>
      <c r="X5" s="14"/>
      <c r="Y5" s="14"/>
      <c r="Z5" s="14"/>
      <c r="AA5" s="14"/>
      <c r="AB5" s="14"/>
      <c r="AC5" s="14"/>
      <c r="AD5" s="14"/>
      <c r="AE5" s="14"/>
    </row>
    <row r="6" spans="2:31" ht="15" x14ac:dyDescent="0.3">
      <c r="B6" s="14" t="s">
        <v>1</v>
      </c>
      <c r="C6" s="14"/>
      <c r="D6" s="14"/>
      <c r="E6" s="79">
        <v>12000</v>
      </c>
      <c r="F6" s="14" t="s">
        <v>2</v>
      </c>
      <c r="G6" s="17"/>
      <c r="H6" s="18"/>
      <c r="I6" s="14"/>
      <c r="J6" s="14"/>
      <c r="K6" s="14"/>
      <c r="L6" s="14"/>
      <c r="M6" s="14"/>
      <c r="N6" s="14"/>
      <c r="O6" s="14"/>
      <c r="P6" s="14"/>
      <c r="Q6" s="14"/>
      <c r="R6" s="14"/>
      <c r="S6" s="14"/>
      <c r="T6" s="14"/>
      <c r="U6" s="14"/>
      <c r="V6" s="14"/>
      <c r="W6" s="14"/>
      <c r="X6" s="14"/>
      <c r="Y6" s="15"/>
      <c r="Z6" s="14"/>
      <c r="AA6" s="14"/>
      <c r="AB6" s="14"/>
      <c r="AC6" s="14"/>
      <c r="AD6" s="14"/>
      <c r="AE6" s="14"/>
    </row>
    <row r="7" spans="2:31" ht="15" x14ac:dyDescent="0.3">
      <c r="B7" s="16" t="s">
        <v>3</v>
      </c>
      <c r="C7" s="14"/>
      <c r="D7" s="14"/>
      <c r="E7" s="80">
        <v>7000</v>
      </c>
      <c r="F7" s="14" t="s">
        <v>4</v>
      </c>
      <c r="G7" s="17"/>
      <c r="H7" s="18"/>
      <c r="I7" s="14"/>
      <c r="J7" s="14"/>
      <c r="K7" s="14"/>
      <c r="L7" s="14"/>
      <c r="M7" s="14"/>
      <c r="N7" s="14"/>
      <c r="O7" s="14"/>
      <c r="P7" s="14"/>
      <c r="Q7" s="14"/>
      <c r="R7" s="14"/>
      <c r="S7" s="14"/>
      <c r="T7" s="14"/>
      <c r="U7" s="14"/>
      <c r="V7" s="14"/>
      <c r="W7" s="19"/>
      <c r="X7" s="19"/>
      <c r="Y7" s="17"/>
      <c r="Z7" s="14"/>
      <c r="AA7" s="14"/>
      <c r="AB7" s="14"/>
      <c r="AC7" s="14"/>
      <c r="AD7" s="14"/>
      <c r="AE7" s="14"/>
    </row>
    <row r="8" spans="2:31" ht="15" x14ac:dyDescent="0.3">
      <c r="B8" s="14" t="s">
        <v>33</v>
      </c>
      <c r="C8" s="14"/>
      <c r="D8" s="14"/>
      <c r="E8" s="81">
        <v>2.5</v>
      </c>
      <c r="F8" s="14" t="s">
        <v>5</v>
      </c>
      <c r="G8" s="18" t="s">
        <v>58</v>
      </c>
      <c r="J8" s="14"/>
      <c r="K8" s="14"/>
      <c r="L8" s="14"/>
      <c r="M8" s="14"/>
      <c r="N8" s="14"/>
      <c r="O8" s="14"/>
      <c r="P8" s="14"/>
      <c r="Q8" s="14"/>
      <c r="R8" s="14"/>
      <c r="S8" s="14"/>
      <c r="T8" s="14"/>
      <c r="U8" s="14"/>
      <c r="V8" s="14"/>
      <c r="W8" s="21"/>
      <c r="X8" s="14"/>
      <c r="Y8" s="17"/>
      <c r="Z8" s="14"/>
      <c r="AA8" s="14"/>
      <c r="AB8" s="14"/>
      <c r="AC8" s="14"/>
      <c r="AD8" s="14"/>
      <c r="AE8" s="14"/>
    </row>
    <row r="9" spans="2:31" ht="15" x14ac:dyDescent="0.3">
      <c r="B9" s="14"/>
      <c r="C9" s="14"/>
      <c r="D9" s="14"/>
      <c r="E9" s="20"/>
      <c r="F9" s="14"/>
      <c r="G9" s="18"/>
      <c r="J9" s="14"/>
      <c r="K9" s="14"/>
      <c r="L9" s="14"/>
      <c r="M9" s="14"/>
      <c r="N9" s="14"/>
      <c r="O9" s="14"/>
      <c r="P9" s="14"/>
      <c r="Q9" s="14"/>
      <c r="R9" s="14"/>
      <c r="S9" s="14"/>
      <c r="T9" s="14"/>
      <c r="U9" s="14"/>
      <c r="V9" s="14"/>
      <c r="W9" s="21"/>
      <c r="X9" s="14"/>
      <c r="Y9" s="17"/>
      <c r="Z9" s="14"/>
      <c r="AA9" s="14"/>
      <c r="AB9" s="14"/>
      <c r="AC9" s="14"/>
      <c r="AD9" s="14"/>
      <c r="AE9" s="14"/>
    </row>
    <row r="10" spans="2:31" ht="15.75" x14ac:dyDescent="0.25">
      <c r="B10" s="14" t="s">
        <v>7</v>
      </c>
      <c r="C10" s="14"/>
      <c r="D10" s="14"/>
      <c r="E10" s="14" t="s">
        <v>34</v>
      </c>
      <c r="M10" s="14"/>
      <c r="N10" s="14"/>
      <c r="O10" s="14"/>
      <c r="P10" s="14"/>
      <c r="Q10" s="14"/>
      <c r="R10" s="14"/>
      <c r="S10" s="14"/>
      <c r="T10" s="14"/>
      <c r="U10" s="14"/>
      <c r="V10" s="14"/>
      <c r="W10" s="14"/>
      <c r="X10" s="14"/>
      <c r="Y10" s="14"/>
      <c r="Z10" s="14"/>
      <c r="AA10" s="14"/>
      <c r="AB10" s="14"/>
      <c r="AC10" s="14"/>
      <c r="AD10" s="14"/>
      <c r="AE10" s="14"/>
    </row>
    <row r="11" spans="2:31" x14ac:dyDescent="0.25">
      <c r="B11" s="14"/>
      <c r="C11" s="14"/>
      <c r="D11" s="14"/>
      <c r="E11" s="14"/>
      <c r="M11" s="14"/>
      <c r="N11" s="14"/>
      <c r="O11" s="14"/>
      <c r="P11" s="14"/>
      <c r="Q11" s="14"/>
      <c r="R11" s="14"/>
      <c r="S11" s="14"/>
      <c r="T11" s="14"/>
      <c r="U11" s="14"/>
      <c r="V11" s="14"/>
      <c r="W11" s="14"/>
      <c r="X11" s="14"/>
      <c r="Y11" s="14"/>
      <c r="Z11" s="14"/>
      <c r="AA11" s="14"/>
      <c r="AB11" s="14"/>
      <c r="AC11" s="14"/>
      <c r="AD11" s="14"/>
      <c r="AE11" s="14"/>
    </row>
    <row r="12" spans="2:31" ht="15" x14ac:dyDescent="0.3">
      <c r="B12" s="14" t="s">
        <v>35</v>
      </c>
      <c r="C12" s="14"/>
      <c r="D12" s="14"/>
      <c r="E12" s="19">
        <f>K86</f>
        <v>29.988000000000003</v>
      </c>
      <c r="F12" s="10" t="s">
        <v>71</v>
      </c>
      <c r="M12" s="14"/>
      <c r="N12" s="14"/>
      <c r="O12" s="14"/>
      <c r="P12" s="14"/>
      <c r="Q12" s="14"/>
      <c r="R12" s="14"/>
      <c r="S12" s="14"/>
      <c r="T12" s="14"/>
      <c r="U12" s="14"/>
      <c r="V12" s="14"/>
      <c r="W12" s="14"/>
      <c r="X12" s="14"/>
      <c r="Y12" s="14"/>
      <c r="Z12" s="14"/>
      <c r="AA12" s="14"/>
      <c r="AB12" s="14"/>
      <c r="AC12" s="14"/>
      <c r="AD12" s="14"/>
      <c r="AE12" s="14"/>
    </row>
    <row r="13" spans="2:31" x14ac:dyDescent="0.25">
      <c r="B13" s="14"/>
      <c r="C13" s="14"/>
      <c r="D13" s="14"/>
      <c r="E13" s="19"/>
      <c r="M13" s="14"/>
      <c r="N13" s="14"/>
      <c r="O13" s="14"/>
      <c r="P13" s="14"/>
      <c r="Q13" s="14"/>
      <c r="R13" s="14"/>
      <c r="S13" s="14"/>
      <c r="T13" s="14"/>
      <c r="U13" s="14"/>
      <c r="V13" s="14"/>
      <c r="W13" s="14"/>
      <c r="X13" s="14"/>
      <c r="Y13" s="14"/>
      <c r="Z13" s="14"/>
      <c r="AA13" s="14"/>
      <c r="AB13" s="14"/>
      <c r="AC13" s="14"/>
      <c r="AD13" s="14"/>
      <c r="AE13" s="14"/>
    </row>
    <row r="14" spans="2:31" ht="15" x14ac:dyDescent="0.3">
      <c r="B14" s="13" t="s">
        <v>54</v>
      </c>
      <c r="C14" s="14"/>
      <c r="D14" s="14"/>
      <c r="E14" s="19"/>
      <c r="M14" s="14"/>
      <c r="N14" s="14"/>
      <c r="O14" s="14"/>
      <c r="P14" s="14"/>
      <c r="Q14" s="14"/>
      <c r="R14" s="14"/>
      <c r="S14" s="14"/>
      <c r="T14" s="14"/>
      <c r="U14" s="14"/>
      <c r="V14" s="14"/>
      <c r="W14" s="14"/>
      <c r="X14" s="14"/>
      <c r="Y14" s="14"/>
      <c r="Z14" s="14"/>
      <c r="AA14" s="14"/>
      <c r="AB14" s="14"/>
      <c r="AC14" s="14"/>
      <c r="AD14" s="14"/>
      <c r="AE14" s="14"/>
    </row>
    <row r="15" spans="2:31" ht="15" x14ac:dyDescent="0.3">
      <c r="B15" s="14" t="s">
        <v>24</v>
      </c>
      <c r="C15" s="14"/>
      <c r="D15" s="14"/>
      <c r="E15" s="22">
        <f>$E$12*$E$7/1000000*IF($G$5="Low Efficiency",SUM($H$24:$H$44),SUM($H$55:$H$75))*8760/2000</f>
        <v>0.91089055597680013</v>
      </c>
      <c r="F15" s="23" t="s">
        <v>53</v>
      </c>
      <c r="M15" s="14"/>
      <c r="N15" s="14"/>
      <c r="O15" s="14"/>
      <c r="P15" s="14"/>
      <c r="Q15" s="14"/>
      <c r="R15" s="14"/>
      <c r="S15" s="14"/>
      <c r="T15" s="14"/>
      <c r="U15" s="14"/>
      <c r="V15" s="14"/>
      <c r="W15" s="14"/>
      <c r="X15" s="14"/>
      <c r="Y15" s="14"/>
      <c r="Z15" s="14"/>
      <c r="AA15" s="14"/>
      <c r="AB15" s="14"/>
      <c r="AC15" s="14"/>
      <c r="AD15" s="14"/>
      <c r="AE15" s="14"/>
    </row>
    <row r="16" spans="2:31" ht="15" x14ac:dyDescent="0.3">
      <c r="B16" s="10" t="s">
        <v>36</v>
      </c>
      <c r="E16" s="22">
        <f>$E$12*$E$7/1000000*IF($G$5="Low Efficiency",SUM($I$24:$I$44),SUM($I$55:$I$75))*8760/2000</f>
        <v>0.4579875076896</v>
      </c>
      <c r="F16" s="23" t="s">
        <v>53</v>
      </c>
      <c r="M16" s="14"/>
      <c r="N16" s="14"/>
      <c r="O16" s="14"/>
      <c r="P16" s="14"/>
      <c r="Q16" s="14"/>
      <c r="R16" s="14"/>
      <c r="S16" s="14"/>
      <c r="T16" s="14"/>
      <c r="U16" s="14"/>
      <c r="V16" s="14"/>
      <c r="W16" s="14"/>
      <c r="X16" s="14"/>
      <c r="Y16" s="14"/>
      <c r="Z16" s="14"/>
      <c r="AA16" s="14"/>
      <c r="AB16" s="14"/>
      <c r="AC16" s="14"/>
      <c r="AD16" s="14"/>
      <c r="AE16" s="14"/>
    </row>
    <row r="17" spans="2:31" ht="15" x14ac:dyDescent="0.3">
      <c r="B17" s="10" t="s">
        <v>37</v>
      </c>
      <c r="E17" s="22">
        <f>$E$12*$E$7/1000000*IF($G$5="Low Efficiency",SUM($J$24:$J$44),SUM($J$55:$J$75))*8760/2000</f>
        <v>1.8020868768000001E-3</v>
      </c>
      <c r="F17" s="23" t="s">
        <v>53</v>
      </c>
      <c r="M17" s="14"/>
      <c r="N17" s="14"/>
      <c r="O17" s="14"/>
      <c r="P17" s="14"/>
      <c r="Q17" s="14"/>
      <c r="R17" s="14"/>
      <c r="S17" s="14"/>
      <c r="T17" s="14"/>
      <c r="U17" s="14"/>
      <c r="V17" s="14"/>
      <c r="W17" s="14"/>
      <c r="X17" s="14"/>
      <c r="Y17" s="14"/>
      <c r="Z17" s="14"/>
      <c r="AA17" s="14"/>
      <c r="AB17" s="14"/>
      <c r="AC17" s="14"/>
      <c r="AD17" s="14"/>
      <c r="AE17" s="14"/>
    </row>
    <row r="18" spans="2:31" x14ac:dyDescent="0.25">
      <c r="N18" s="14"/>
      <c r="O18" s="14"/>
      <c r="P18" s="14"/>
      <c r="Q18" s="14"/>
      <c r="R18" s="14"/>
      <c r="S18" s="14"/>
      <c r="T18" s="14"/>
      <c r="U18" s="14"/>
      <c r="V18" s="14"/>
      <c r="W18" s="14"/>
      <c r="X18" s="14"/>
      <c r="Y18" s="24"/>
      <c r="Z18" s="14"/>
      <c r="AA18" s="14"/>
      <c r="AB18" s="14"/>
      <c r="AC18" s="14"/>
      <c r="AD18" s="14"/>
      <c r="AE18" s="14"/>
    </row>
    <row r="19" spans="2:31" ht="15" x14ac:dyDescent="0.3">
      <c r="B19" s="25" t="s">
        <v>38</v>
      </c>
      <c r="N19" s="14"/>
      <c r="O19" s="14"/>
      <c r="P19" s="14"/>
      <c r="Q19" s="14"/>
      <c r="R19" s="14"/>
      <c r="S19" s="14"/>
      <c r="AE19" s="14"/>
    </row>
    <row r="20" spans="2:31" ht="15.75" thickBot="1" x14ac:dyDescent="0.35">
      <c r="B20" s="18" t="s">
        <v>39</v>
      </c>
      <c r="C20" s="26"/>
      <c r="D20" s="26"/>
      <c r="E20" s="26"/>
      <c r="F20" s="14"/>
      <c r="G20" s="14"/>
      <c r="H20" s="14"/>
      <c r="I20" s="14"/>
      <c r="J20" s="14"/>
      <c r="K20" s="14"/>
      <c r="L20" s="14"/>
      <c r="N20" s="14"/>
      <c r="O20" s="14"/>
      <c r="P20" s="14"/>
      <c r="Q20" s="14"/>
      <c r="R20" s="14"/>
      <c r="S20" s="14"/>
      <c r="AE20" s="14"/>
    </row>
    <row r="21" spans="2:31" ht="15.75" thickTop="1" x14ac:dyDescent="0.3">
      <c r="B21" s="27" t="s">
        <v>15</v>
      </c>
      <c r="C21" s="27"/>
      <c r="D21" s="28"/>
      <c r="E21" s="29" t="s">
        <v>40</v>
      </c>
      <c r="F21" s="29" t="s">
        <v>16</v>
      </c>
      <c r="G21" s="29"/>
      <c r="H21" s="30" t="s">
        <v>43</v>
      </c>
      <c r="I21" s="29"/>
      <c r="J21" s="29"/>
      <c r="L21" s="31"/>
      <c r="N21" s="14"/>
      <c r="O21" s="14"/>
      <c r="P21" s="14"/>
      <c r="Q21" s="14"/>
      <c r="R21" s="14"/>
      <c r="S21" s="14"/>
      <c r="AE21" s="14"/>
    </row>
    <row r="22" spans="2:31" ht="15" x14ac:dyDescent="0.3">
      <c r="B22" s="31" t="s">
        <v>18</v>
      </c>
      <c r="C22" s="31"/>
      <c r="D22" s="31" t="s">
        <v>17</v>
      </c>
      <c r="E22" s="31" t="s">
        <v>20</v>
      </c>
      <c r="F22" s="31" t="s">
        <v>19</v>
      </c>
      <c r="G22" s="31" t="s">
        <v>18</v>
      </c>
      <c r="H22" s="31" t="s">
        <v>41</v>
      </c>
      <c r="I22" s="31" t="s">
        <v>60</v>
      </c>
      <c r="J22" s="31" t="s">
        <v>61</v>
      </c>
      <c r="L22" s="31"/>
      <c r="N22" s="14"/>
      <c r="O22" s="14"/>
      <c r="P22" s="14"/>
      <c r="Q22" s="14"/>
      <c r="R22" s="14"/>
      <c r="S22" s="14"/>
      <c r="AE22" s="14"/>
    </row>
    <row r="23" spans="2:31" ht="14.25" thickBot="1" x14ac:dyDescent="0.3">
      <c r="B23" s="32" t="s">
        <v>21</v>
      </c>
      <c r="C23" s="32" t="s">
        <v>17</v>
      </c>
      <c r="D23" s="32" t="s">
        <v>44</v>
      </c>
      <c r="E23" s="32" t="s">
        <v>23</v>
      </c>
      <c r="F23" s="32" t="s">
        <v>22</v>
      </c>
      <c r="G23" s="32" t="s">
        <v>21</v>
      </c>
      <c r="H23" s="32" t="s">
        <v>42</v>
      </c>
      <c r="I23" s="32" t="s">
        <v>42</v>
      </c>
      <c r="J23" s="32" t="s">
        <v>42</v>
      </c>
      <c r="L23" s="31"/>
      <c r="N23" s="14"/>
      <c r="O23" s="14"/>
      <c r="P23" s="14"/>
      <c r="Q23" s="14"/>
      <c r="R23" s="14"/>
      <c r="S23" s="14"/>
      <c r="AE23" s="14"/>
    </row>
    <row r="24" spans="2:31" ht="14.25" thickTop="1" x14ac:dyDescent="0.25">
      <c r="B24" s="33">
        <v>22</v>
      </c>
      <c r="C24" s="33">
        <v>0.43</v>
      </c>
      <c r="D24" s="27">
        <f>SUM(C24)</f>
        <v>0.43</v>
      </c>
      <c r="E24" s="34">
        <f>(B24/10000/2)^3*PI()*4/3*1</f>
        <v>5.5752797625706871E-9</v>
      </c>
      <c r="F24" s="34">
        <f t="shared" ref="F24:F44" si="0">E24*$E$7/1000000/$E$8</f>
        <v>1.5610783335197926E-11</v>
      </c>
      <c r="G24" s="35">
        <f t="shared" ref="G24:G44" si="1">(F24*3/4/PI())^(1/3)*2*10000</f>
        <v>3.1008114421085571</v>
      </c>
      <c r="H24" s="36"/>
      <c r="I24" s="37" t="str">
        <f>IF($G24&lt;10,"",($D24/100))</f>
        <v/>
      </c>
      <c r="J24" s="37">
        <f>IF($G24&lt;2.5,"",($D24/100))</f>
        <v>4.3E-3</v>
      </c>
      <c r="L24" s="38"/>
      <c r="N24" s="14"/>
      <c r="O24" s="14"/>
      <c r="P24" s="14"/>
      <c r="Q24" s="14"/>
      <c r="R24" s="14"/>
      <c r="S24" s="14"/>
      <c r="AE24" s="14"/>
    </row>
    <row r="25" spans="2:31" x14ac:dyDescent="0.25">
      <c r="B25" s="39">
        <v>29</v>
      </c>
      <c r="C25" s="39">
        <v>1.49</v>
      </c>
      <c r="D25" s="31">
        <f>SUM($C$24:$C25)</f>
        <v>1.92</v>
      </c>
      <c r="E25" s="40">
        <f t="shared" ref="E25:E44" si="2">(B25/10000/2)^3*PI()*4/3*1</f>
        <v>1.2770050538066909E-8</v>
      </c>
      <c r="F25" s="40">
        <f t="shared" si="0"/>
        <v>3.5756141506587343E-11</v>
      </c>
      <c r="G25" s="38">
        <f t="shared" si="1"/>
        <v>4.087433264597637</v>
      </c>
      <c r="H25" s="36"/>
      <c r="I25" s="37" t="str">
        <f>IF($G25&lt;10,"",IF($G24&gt;=10,"",($D25/100)))</f>
        <v/>
      </c>
      <c r="J25" s="37" t="str">
        <f>IF($G25&lt;2.5,"",IF($G24&gt;=2.5,"",($D25/100)))</f>
        <v/>
      </c>
      <c r="L25" s="14"/>
      <c r="N25" s="14"/>
      <c r="O25" s="14"/>
      <c r="P25" s="14"/>
      <c r="Q25" s="14"/>
      <c r="R25" s="14"/>
      <c r="S25" s="14"/>
      <c r="AE25" s="14"/>
    </row>
    <row r="26" spans="2:31" x14ac:dyDescent="0.25">
      <c r="B26" s="39">
        <v>44</v>
      </c>
      <c r="C26" s="39">
        <v>3.76</v>
      </c>
      <c r="D26" s="31">
        <f>SUM($C$24:$C26)</f>
        <v>5.68</v>
      </c>
      <c r="E26" s="40">
        <f t="shared" si="2"/>
        <v>4.4602238100565496E-8</v>
      </c>
      <c r="F26" s="40">
        <f t="shared" si="0"/>
        <v>1.2488626668158341E-10</v>
      </c>
      <c r="G26" s="38">
        <f t="shared" si="1"/>
        <v>6.2016228842171026</v>
      </c>
      <c r="H26" s="36"/>
      <c r="I26" s="37" t="str">
        <f t="shared" ref="I26:I35" si="3">IF($G26&lt;10,"",IF($G25&gt;=10,"",($D26/100)))</f>
        <v/>
      </c>
      <c r="J26" s="37" t="str">
        <f t="shared" ref="J26:J35" si="4">IF($G26&lt;2.5,"",IF($G25&gt;=2.5,"",($D26/100)))</f>
        <v/>
      </c>
      <c r="L26" s="38"/>
      <c r="N26" s="14"/>
      <c r="O26" s="14"/>
      <c r="P26" s="14"/>
      <c r="Q26" s="14"/>
      <c r="R26" s="14"/>
      <c r="S26" s="14"/>
      <c r="AE26" s="14"/>
    </row>
    <row r="27" spans="2:31" x14ac:dyDescent="0.25">
      <c r="B27" s="39">
        <v>58</v>
      </c>
      <c r="C27" s="39">
        <v>2.09</v>
      </c>
      <c r="D27" s="31">
        <f>SUM($C$24:$C27)</f>
        <v>7.77</v>
      </c>
      <c r="E27" s="40">
        <f t="shared" si="2"/>
        <v>1.0216040430453527E-7</v>
      </c>
      <c r="F27" s="40">
        <f t="shared" si="0"/>
        <v>2.8604913205269875E-10</v>
      </c>
      <c r="G27" s="38">
        <f t="shared" si="1"/>
        <v>8.1748665291952758</v>
      </c>
      <c r="H27" s="36"/>
      <c r="I27" s="37" t="str">
        <f t="shared" si="3"/>
        <v/>
      </c>
      <c r="J27" s="37" t="str">
        <f t="shared" si="4"/>
        <v/>
      </c>
      <c r="L27" s="14"/>
      <c r="N27" s="14"/>
      <c r="O27" s="14"/>
      <c r="P27" s="14"/>
      <c r="Q27" s="14"/>
      <c r="R27" s="14"/>
      <c r="S27" s="14"/>
      <c r="AE27" s="14"/>
    </row>
    <row r="28" spans="2:31" ht="15" x14ac:dyDescent="0.3">
      <c r="B28" s="39">
        <v>65</v>
      </c>
      <c r="C28" s="39">
        <v>1.86</v>
      </c>
      <c r="D28" s="31">
        <f>SUM($C$24:$C28)</f>
        <v>9.629999999999999</v>
      </c>
      <c r="E28" s="40">
        <f t="shared" si="2"/>
        <v>1.4379331374868281E-7</v>
      </c>
      <c r="F28" s="40">
        <f t="shared" si="0"/>
        <v>4.0262127849631186E-10</v>
      </c>
      <c r="G28" s="38">
        <f t="shared" si="1"/>
        <v>9.1614883516843602</v>
      </c>
      <c r="H28" s="36"/>
      <c r="I28" s="37" t="str">
        <f t="shared" si="3"/>
        <v/>
      </c>
      <c r="J28" s="37" t="str">
        <f t="shared" si="4"/>
        <v/>
      </c>
      <c r="L28" s="38"/>
      <c r="N28" s="15"/>
      <c r="O28" s="14"/>
      <c r="P28" s="14"/>
      <c r="Q28" s="14"/>
      <c r="R28" s="14"/>
      <c r="S28" s="14"/>
      <c r="AE28" s="14"/>
    </row>
    <row r="29" spans="2:31" x14ac:dyDescent="0.25">
      <c r="B29" s="39">
        <v>87</v>
      </c>
      <c r="C29" s="39">
        <v>1.56</v>
      </c>
      <c r="D29" s="31">
        <f>SUM($C$24:$C29)</f>
        <v>11.19</v>
      </c>
      <c r="E29" s="40">
        <f t="shared" si="2"/>
        <v>3.4479136452780659E-7</v>
      </c>
      <c r="F29" s="40">
        <f t="shared" si="0"/>
        <v>9.6541582067785854E-10</v>
      </c>
      <c r="G29" s="38">
        <f t="shared" si="1"/>
        <v>12.262299793792927</v>
      </c>
      <c r="H29" s="36"/>
      <c r="I29" s="37">
        <f t="shared" si="3"/>
        <v>0.1119</v>
      </c>
      <c r="J29" s="37" t="str">
        <f t="shared" si="4"/>
        <v/>
      </c>
      <c r="L29" s="38"/>
      <c r="N29" s="14"/>
      <c r="O29" s="14"/>
      <c r="P29" s="14"/>
      <c r="Q29" s="14"/>
      <c r="R29" s="14"/>
      <c r="S29" s="14"/>
      <c r="AE29" s="14"/>
    </row>
    <row r="30" spans="2:31" x14ac:dyDescent="0.25">
      <c r="B30" s="39">
        <v>108</v>
      </c>
      <c r="C30" s="39">
        <v>1.43</v>
      </c>
      <c r="D30" s="31">
        <f>SUM($C$24:$C30)</f>
        <v>12.62</v>
      </c>
      <c r="E30" s="40">
        <f t="shared" si="2"/>
        <v>6.5958366080648423E-7</v>
      </c>
      <c r="F30" s="40">
        <f t="shared" si="0"/>
        <v>1.8468342502581561E-9</v>
      </c>
      <c r="G30" s="38">
        <f t="shared" si="1"/>
        <v>15.222165261260177</v>
      </c>
      <c r="H30" s="36"/>
      <c r="I30" s="37" t="str">
        <f t="shared" si="3"/>
        <v/>
      </c>
      <c r="J30" s="37" t="str">
        <f t="shared" si="4"/>
        <v/>
      </c>
      <c r="L30" s="14"/>
      <c r="N30" s="14"/>
      <c r="O30" s="14"/>
      <c r="P30" s="14"/>
      <c r="Q30" s="14"/>
      <c r="R30" s="14"/>
      <c r="S30" s="14"/>
      <c r="AE30" s="14"/>
    </row>
    <row r="31" spans="2:31" x14ac:dyDescent="0.25">
      <c r="B31" s="39">
        <v>120</v>
      </c>
      <c r="C31" s="39">
        <v>1.26</v>
      </c>
      <c r="D31" s="31">
        <f>SUM($C$24:$C31)</f>
        <v>13.879999999999999</v>
      </c>
      <c r="E31" s="40">
        <f t="shared" si="2"/>
        <v>9.0477868423386037E-7</v>
      </c>
      <c r="F31" s="40">
        <f t="shared" si="0"/>
        <v>2.5333803158548089E-9</v>
      </c>
      <c r="G31" s="38">
        <f t="shared" si="1"/>
        <v>16.913516956955743</v>
      </c>
      <c r="H31" s="36"/>
      <c r="I31" s="37" t="str">
        <f t="shared" si="3"/>
        <v/>
      </c>
      <c r="J31" s="37" t="str">
        <f t="shared" si="4"/>
        <v/>
      </c>
      <c r="L31" s="14"/>
      <c r="N31" s="14"/>
      <c r="O31" s="14"/>
      <c r="P31" s="14"/>
      <c r="Q31" s="14"/>
      <c r="R31" s="14"/>
      <c r="S31" s="14"/>
      <c r="AE31" s="14"/>
    </row>
    <row r="32" spans="2:31" x14ac:dyDescent="0.25">
      <c r="B32" s="39">
        <v>132</v>
      </c>
      <c r="C32" s="39">
        <v>1.0900000000000001</v>
      </c>
      <c r="D32" s="31">
        <f>SUM($C$24:$C32)</f>
        <v>14.969999999999999</v>
      </c>
      <c r="E32" s="40">
        <f t="shared" si="2"/>
        <v>1.2042604287152682E-6</v>
      </c>
      <c r="F32" s="40">
        <f t="shared" si="0"/>
        <v>3.3719292004027502E-9</v>
      </c>
      <c r="G32" s="38">
        <f t="shared" si="1"/>
        <v>18.604868652651316</v>
      </c>
      <c r="H32" s="36"/>
      <c r="I32" s="37" t="str">
        <f t="shared" si="3"/>
        <v/>
      </c>
      <c r="J32" s="37" t="str">
        <f t="shared" si="4"/>
        <v/>
      </c>
      <c r="L32" s="38"/>
      <c r="N32" s="14"/>
      <c r="O32" s="14"/>
      <c r="P32" s="14"/>
      <c r="Q32" s="14"/>
      <c r="R32" s="14"/>
      <c r="S32" s="14"/>
      <c r="AE32" s="14"/>
    </row>
    <row r="33" spans="2:31" x14ac:dyDescent="0.25">
      <c r="B33" s="39">
        <v>144</v>
      </c>
      <c r="C33" s="39">
        <v>1.32</v>
      </c>
      <c r="D33" s="31">
        <f>SUM($C$24:$C33)</f>
        <v>16.29</v>
      </c>
      <c r="E33" s="40">
        <f t="shared" si="2"/>
        <v>1.5634575663561106E-6</v>
      </c>
      <c r="F33" s="40">
        <f t="shared" si="0"/>
        <v>4.37768118579711E-9</v>
      </c>
      <c r="G33" s="38">
        <f t="shared" si="1"/>
        <v>20.2962203483469</v>
      </c>
      <c r="H33" s="36"/>
      <c r="I33" s="37" t="str">
        <f t="shared" si="3"/>
        <v/>
      </c>
      <c r="J33" s="37" t="str">
        <f t="shared" si="4"/>
        <v/>
      </c>
      <c r="L33" s="38"/>
      <c r="N33" s="14"/>
      <c r="O33" s="14"/>
      <c r="P33" s="14"/>
      <c r="Q33" s="14"/>
      <c r="R33" s="14"/>
      <c r="S33" s="14"/>
      <c r="AE33" s="14"/>
    </row>
    <row r="34" spans="2:31" ht="15" x14ac:dyDescent="0.3">
      <c r="B34" s="39">
        <v>174</v>
      </c>
      <c r="C34" s="39">
        <v>5.81</v>
      </c>
      <c r="D34" s="31">
        <f>SUM($C$24:$C34)</f>
        <v>22.099999999999998</v>
      </c>
      <c r="E34" s="40">
        <f t="shared" si="2"/>
        <v>2.7583309162224527E-6</v>
      </c>
      <c r="F34" s="40">
        <f t="shared" si="0"/>
        <v>7.7233265654228683E-9</v>
      </c>
      <c r="G34" s="38">
        <f t="shared" si="1"/>
        <v>24.524599587585836</v>
      </c>
      <c r="H34" s="36"/>
      <c r="I34" s="37" t="str">
        <f t="shared" si="3"/>
        <v/>
      </c>
      <c r="J34" s="37" t="str">
        <f t="shared" si="4"/>
        <v/>
      </c>
      <c r="L34" s="14"/>
      <c r="N34" s="15"/>
      <c r="O34" s="14"/>
      <c r="P34" s="14"/>
      <c r="Q34" s="14"/>
      <c r="R34" s="14"/>
      <c r="S34" s="14"/>
      <c r="AE34" s="14"/>
    </row>
    <row r="35" spans="2:31" x14ac:dyDescent="0.25">
      <c r="B35" s="39">
        <v>300</v>
      </c>
      <c r="C35" s="39">
        <v>5.04</v>
      </c>
      <c r="D35" s="31">
        <f>SUM($C$24:$C35)</f>
        <v>27.139999999999997</v>
      </c>
      <c r="E35" s="40">
        <f t="shared" si="2"/>
        <v>1.4137166941154069E-5</v>
      </c>
      <c r="F35" s="40">
        <f t="shared" si="0"/>
        <v>3.9584067435231393E-8</v>
      </c>
      <c r="G35" s="38">
        <f t="shared" si="1"/>
        <v>42.283792392389358</v>
      </c>
      <c r="H35" s="36"/>
      <c r="I35" s="37" t="str">
        <f t="shared" si="3"/>
        <v/>
      </c>
      <c r="J35" s="37" t="str">
        <f t="shared" si="4"/>
        <v/>
      </c>
      <c r="L35" s="38"/>
      <c r="N35" s="14"/>
      <c r="O35" s="14"/>
      <c r="P35" s="14"/>
      <c r="Q35" s="14"/>
      <c r="R35" s="14"/>
      <c r="S35" s="14"/>
      <c r="AE35" s="14"/>
    </row>
    <row r="36" spans="2:31" x14ac:dyDescent="0.25">
      <c r="B36" s="41">
        <v>450</v>
      </c>
      <c r="C36" s="39">
        <v>4.17</v>
      </c>
      <c r="D36" s="31">
        <f>SUM($C$24:$C36)</f>
        <v>31.309999999999995</v>
      </c>
      <c r="E36" s="40">
        <f t="shared" si="2"/>
        <v>4.7712938426394982E-5</v>
      </c>
      <c r="F36" s="40">
        <f t="shared" si="0"/>
        <v>1.3359622759390594E-7</v>
      </c>
      <c r="G36" s="38">
        <f t="shared" si="1"/>
        <v>63.425688588584052</v>
      </c>
      <c r="H36" s="37">
        <f>(D36/100)</f>
        <v>0.31309999999999993</v>
      </c>
      <c r="I36" s="37" t="str">
        <f>IF($G37&lt;10,$H36,IF($G36&lt;10,"",IF($G35&gt;=10,"",($D36/100))))</f>
        <v/>
      </c>
      <c r="J36" s="37" t="str">
        <f>IF($G37&lt;2.5,$H36,IF($G36&lt;2.5,"",IF($G35&gt;=2.5,"",($D36/100))))</f>
        <v/>
      </c>
      <c r="L36" s="31"/>
      <c r="N36" s="14"/>
      <c r="O36" s="14"/>
      <c r="P36" s="14"/>
      <c r="Q36" s="14"/>
      <c r="R36" s="14"/>
      <c r="S36" s="14"/>
      <c r="AE36" s="14"/>
    </row>
    <row r="37" spans="2:31" x14ac:dyDescent="0.25">
      <c r="B37" s="39">
        <v>600</v>
      </c>
      <c r="C37" s="39">
        <v>4.01</v>
      </c>
      <c r="D37" s="31">
        <f>SUM($C$24:$C37)</f>
        <v>35.319999999999993</v>
      </c>
      <c r="E37" s="40">
        <f t="shared" si="2"/>
        <v>1.1309733552923255E-4</v>
      </c>
      <c r="F37" s="40">
        <f t="shared" si="0"/>
        <v>3.1667253948185114E-7</v>
      </c>
      <c r="G37" s="38">
        <f t="shared" si="1"/>
        <v>84.567584784778802</v>
      </c>
      <c r="H37" s="36"/>
      <c r="I37" s="37"/>
      <c r="J37" s="37"/>
      <c r="L37" s="14"/>
      <c r="N37" s="14"/>
      <c r="O37" s="14"/>
      <c r="P37" s="14"/>
      <c r="Q37" s="14"/>
      <c r="R37" s="14"/>
      <c r="S37" s="14"/>
      <c r="AE37" s="14"/>
    </row>
    <row r="38" spans="2:31" x14ac:dyDescent="0.25">
      <c r="B38" s="39">
        <v>750</v>
      </c>
      <c r="C38" s="42">
        <v>4</v>
      </c>
      <c r="D38" s="31">
        <f>SUM($C$24:$C38)</f>
        <v>39.319999999999993</v>
      </c>
      <c r="E38" s="40">
        <f t="shared" si="2"/>
        <v>2.2089323345553233E-4</v>
      </c>
      <c r="F38" s="40">
        <f t="shared" si="0"/>
        <v>6.1850105367549056E-7</v>
      </c>
      <c r="G38" s="38">
        <f t="shared" si="1"/>
        <v>105.70948098097341</v>
      </c>
      <c r="H38" s="36"/>
      <c r="I38" s="37"/>
      <c r="J38" s="37"/>
      <c r="L38" s="14"/>
      <c r="N38" s="14"/>
      <c r="O38" s="14"/>
      <c r="P38" s="14"/>
      <c r="Q38" s="14"/>
      <c r="R38" s="14"/>
      <c r="S38" s="14"/>
      <c r="AE38" s="14"/>
    </row>
    <row r="39" spans="2:31" ht="15" x14ac:dyDescent="0.3">
      <c r="B39" s="43">
        <v>900</v>
      </c>
      <c r="C39" s="39">
        <v>4.03</v>
      </c>
      <c r="D39" s="31">
        <f>SUM($C$24:$C39)</f>
        <v>43.349999999999994</v>
      </c>
      <c r="E39" s="40">
        <f t="shared" si="2"/>
        <v>3.8170350741115986E-4</v>
      </c>
      <c r="F39" s="40">
        <f t="shared" si="0"/>
        <v>1.0687698207512475E-6</v>
      </c>
      <c r="G39" s="38">
        <f t="shared" si="1"/>
        <v>126.85137717716812</v>
      </c>
      <c r="H39" s="36"/>
      <c r="I39" s="37"/>
      <c r="J39" s="37"/>
      <c r="L39" s="14"/>
      <c r="N39" s="15"/>
      <c r="O39" s="14"/>
      <c r="P39" s="14"/>
      <c r="Q39" s="14"/>
      <c r="R39" s="14"/>
      <c r="S39" s="14"/>
      <c r="AE39" s="14"/>
    </row>
    <row r="40" spans="2:31" x14ac:dyDescent="0.25">
      <c r="B40" s="43">
        <v>1050</v>
      </c>
      <c r="C40" s="39">
        <v>4.57</v>
      </c>
      <c r="D40" s="31">
        <f>SUM($C$24:$C40)</f>
        <v>47.919999999999995</v>
      </c>
      <c r="E40" s="40">
        <f t="shared" si="2"/>
        <v>6.0613103260198067E-4</v>
      </c>
      <c r="F40" s="40">
        <f t="shared" si="0"/>
        <v>1.6971668912855459E-6</v>
      </c>
      <c r="G40" s="38">
        <f t="shared" si="1"/>
        <v>147.99327337336277</v>
      </c>
      <c r="H40" s="36"/>
      <c r="I40" s="37"/>
      <c r="J40" s="37"/>
      <c r="L40" s="14"/>
      <c r="N40" s="14"/>
      <c r="O40" s="14"/>
      <c r="P40" s="14"/>
      <c r="Q40" s="14"/>
      <c r="R40" s="14"/>
      <c r="S40" s="14"/>
      <c r="AE40" s="14"/>
    </row>
    <row r="41" spans="2:31" x14ac:dyDescent="0.25">
      <c r="B41" s="43">
        <v>1200</v>
      </c>
      <c r="C41" s="39">
        <v>5.46</v>
      </c>
      <c r="D41" s="31">
        <f>SUM($C$24:$C41)</f>
        <v>53.379999999999995</v>
      </c>
      <c r="E41" s="40">
        <f t="shared" si="2"/>
        <v>9.047786842338604E-4</v>
      </c>
      <c r="F41" s="40">
        <f t="shared" si="0"/>
        <v>2.5333803158548092E-6</v>
      </c>
      <c r="G41" s="38">
        <f t="shared" si="1"/>
        <v>169.13516956955746</v>
      </c>
      <c r="H41" s="36"/>
      <c r="I41" s="37"/>
      <c r="J41" s="37"/>
      <c r="L41" s="14"/>
      <c r="M41" s="14"/>
      <c r="N41" s="14"/>
      <c r="O41" s="14"/>
      <c r="P41" s="14"/>
      <c r="Q41" s="14"/>
      <c r="R41" s="14"/>
      <c r="S41" s="14"/>
      <c r="AE41" s="14"/>
    </row>
    <row r="42" spans="2:31" x14ac:dyDescent="0.25">
      <c r="B42" s="43">
        <v>1350</v>
      </c>
      <c r="C42" s="42">
        <v>6.8</v>
      </c>
      <c r="D42" s="31">
        <f>SUM($C$24:$C42)</f>
        <v>60.179999999999993</v>
      </c>
      <c r="E42" s="40">
        <f t="shared" si="2"/>
        <v>1.2882493375126647E-3</v>
      </c>
      <c r="F42" s="40">
        <f t="shared" si="0"/>
        <v>3.6070981450354611E-6</v>
      </c>
      <c r="G42" s="38">
        <f t="shared" si="1"/>
        <v>190.27706576575207</v>
      </c>
      <c r="H42" s="36"/>
      <c r="I42" s="37"/>
      <c r="J42" s="37"/>
      <c r="L42" s="14"/>
      <c r="M42" s="14"/>
      <c r="N42" s="14"/>
      <c r="O42" s="14"/>
      <c r="P42" s="14"/>
      <c r="Q42" s="14"/>
      <c r="R42" s="14"/>
      <c r="S42" s="14"/>
      <c r="AE42" s="14"/>
    </row>
    <row r="43" spans="2:31" ht="15" x14ac:dyDescent="0.3">
      <c r="B43" s="43">
        <v>2250</v>
      </c>
      <c r="C43" s="39">
        <v>17.989999999999998</v>
      </c>
      <c r="D43" s="31">
        <f>SUM($C$24:$C43)</f>
        <v>78.169999999999987</v>
      </c>
      <c r="E43" s="40">
        <f t="shared" si="2"/>
        <v>5.9641173032993731E-3</v>
      </c>
      <c r="F43" s="40">
        <f t="shared" si="0"/>
        <v>1.6699528449238243E-5</v>
      </c>
      <c r="G43" s="38">
        <f t="shared" si="1"/>
        <v>317.12844294292034</v>
      </c>
      <c r="H43" s="36"/>
      <c r="I43" s="37"/>
      <c r="J43" s="37"/>
      <c r="L43" s="14"/>
      <c r="M43" s="44"/>
      <c r="N43" s="14"/>
      <c r="O43" s="14"/>
      <c r="P43" s="14"/>
      <c r="Q43" s="14"/>
      <c r="R43" s="14"/>
      <c r="S43" s="14"/>
      <c r="AE43" s="14"/>
    </row>
    <row r="44" spans="2:31" ht="15.75" thickBot="1" x14ac:dyDescent="0.35">
      <c r="B44" s="45">
        <v>2400</v>
      </c>
      <c r="C44" s="46">
        <v>21.83</v>
      </c>
      <c r="D44" s="32">
        <f>SUM($C$24:$C44)</f>
        <v>99.999999999999986</v>
      </c>
      <c r="E44" s="47">
        <f t="shared" si="2"/>
        <v>7.2382294738708832E-3</v>
      </c>
      <c r="F44" s="47">
        <f t="shared" si="0"/>
        <v>2.0267042526838473E-5</v>
      </c>
      <c r="G44" s="48">
        <f t="shared" si="1"/>
        <v>338.27033913911492</v>
      </c>
      <c r="H44" s="49"/>
      <c r="I44" s="50"/>
      <c r="J44" s="50"/>
      <c r="L44" s="14"/>
      <c r="N44" s="15"/>
      <c r="O44" s="14"/>
      <c r="P44" s="14"/>
      <c r="Q44" s="14"/>
      <c r="R44" s="14"/>
      <c r="S44" s="14"/>
      <c r="AE44" s="14"/>
    </row>
    <row r="45" spans="2:31" ht="15.75" thickTop="1" x14ac:dyDescent="0.3">
      <c r="B45" s="18" t="s">
        <v>47</v>
      </c>
      <c r="C45" s="14"/>
      <c r="D45" s="14"/>
      <c r="E45" s="14"/>
      <c r="F45" s="14"/>
      <c r="G45" s="14"/>
      <c r="H45" s="14"/>
      <c r="I45" s="14"/>
      <c r="J45" s="14"/>
      <c r="K45" s="14"/>
      <c r="L45" s="31"/>
      <c r="N45" s="14"/>
      <c r="O45" s="14"/>
      <c r="P45" s="14"/>
      <c r="Q45" s="14"/>
      <c r="R45" s="14"/>
      <c r="S45" s="14"/>
      <c r="AE45" s="14"/>
    </row>
    <row r="46" spans="2:31" ht="15" x14ac:dyDescent="0.3">
      <c r="B46" s="18" t="s">
        <v>48</v>
      </c>
      <c r="C46" s="14"/>
      <c r="D46" s="14"/>
      <c r="E46" s="14"/>
      <c r="F46" s="14"/>
      <c r="G46" s="14"/>
      <c r="H46" s="14"/>
      <c r="I46" s="14"/>
      <c r="J46" s="14"/>
      <c r="K46" s="14"/>
      <c r="L46" s="14"/>
      <c r="N46" s="14"/>
      <c r="O46" s="14"/>
      <c r="P46" s="14"/>
      <c r="Q46" s="14"/>
      <c r="R46" s="14"/>
      <c r="S46" s="14"/>
      <c r="AE46" s="14"/>
    </row>
    <row r="47" spans="2:31" ht="15" x14ac:dyDescent="0.3">
      <c r="B47" s="17" t="s">
        <v>62</v>
      </c>
      <c r="C47" s="14"/>
      <c r="D47" s="14"/>
      <c r="E47" s="14"/>
      <c r="F47" s="14"/>
      <c r="G47" s="14"/>
      <c r="H47" s="14"/>
      <c r="I47" s="14"/>
      <c r="J47" s="14"/>
      <c r="K47" s="14"/>
      <c r="L47" s="14"/>
      <c r="N47" s="14"/>
      <c r="O47" s="14"/>
      <c r="P47" s="14"/>
      <c r="Q47" s="14"/>
      <c r="R47" s="14"/>
      <c r="S47" s="14"/>
      <c r="AE47" s="14"/>
    </row>
    <row r="48" spans="2:31" ht="15" x14ac:dyDescent="0.3">
      <c r="B48" s="17" t="s">
        <v>63</v>
      </c>
      <c r="K48" s="14"/>
      <c r="L48" s="14"/>
      <c r="N48" s="14"/>
      <c r="O48" s="14"/>
      <c r="P48" s="14"/>
      <c r="Q48" s="14"/>
      <c r="R48" s="14"/>
      <c r="S48" s="14"/>
      <c r="T48" s="14"/>
      <c r="U48" s="14"/>
      <c r="V48" s="14"/>
      <c r="W48" s="14"/>
      <c r="X48" s="14"/>
      <c r="Y48" s="14"/>
      <c r="Z48" s="14"/>
      <c r="AA48" s="14"/>
      <c r="AB48" s="14"/>
      <c r="AC48" s="14"/>
      <c r="AD48" s="14"/>
      <c r="AE48" s="14"/>
    </row>
    <row r="49" spans="2:31" ht="15" x14ac:dyDescent="0.3">
      <c r="N49" s="14"/>
      <c r="O49" s="14"/>
      <c r="P49" s="14"/>
      <c r="Q49" s="14"/>
      <c r="R49" s="14"/>
      <c r="S49" s="14"/>
      <c r="T49" s="14"/>
      <c r="U49" s="14"/>
      <c r="V49" s="14"/>
      <c r="W49" s="14"/>
      <c r="X49" s="14"/>
      <c r="Y49" s="51"/>
      <c r="Z49" s="52"/>
      <c r="AA49" s="14"/>
      <c r="AB49" s="14"/>
      <c r="AC49" s="14"/>
      <c r="AD49" s="14"/>
      <c r="AE49" s="14"/>
    </row>
    <row r="50" spans="2:31" ht="15" x14ac:dyDescent="0.3">
      <c r="B50" s="25" t="s">
        <v>45</v>
      </c>
      <c r="N50" s="14"/>
      <c r="O50" s="14"/>
      <c r="P50" s="14"/>
      <c r="Q50" s="14"/>
      <c r="R50" s="14"/>
      <c r="S50" s="14"/>
      <c r="T50" s="14"/>
      <c r="U50" s="14"/>
      <c r="V50" s="14"/>
      <c r="W50" s="14"/>
      <c r="X50" s="14"/>
      <c r="Y50" s="51"/>
      <c r="Z50" s="52"/>
      <c r="AA50" s="14"/>
      <c r="AB50" s="14"/>
      <c r="AC50" s="14"/>
      <c r="AD50" s="14"/>
      <c r="AE50" s="14"/>
    </row>
    <row r="51" spans="2:31" ht="15.75" thickBot="1" x14ac:dyDescent="0.35">
      <c r="B51" s="18" t="s">
        <v>46</v>
      </c>
      <c r="N51" s="14"/>
      <c r="O51" s="14"/>
      <c r="P51" s="14"/>
      <c r="Q51" s="14"/>
      <c r="R51" s="14"/>
      <c r="S51" s="14"/>
      <c r="T51" s="14"/>
      <c r="U51" s="14"/>
      <c r="V51" s="14"/>
      <c r="W51" s="14"/>
      <c r="X51" s="14"/>
      <c r="Y51" s="14"/>
      <c r="Z51" s="14"/>
      <c r="AA51" s="14"/>
      <c r="AB51" s="14"/>
      <c r="AC51" s="14"/>
      <c r="AD51" s="14"/>
      <c r="AE51" s="14"/>
    </row>
    <row r="52" spans="2:31" ht="15.75" thickTop="1" x14ac:dyDescent="0.3">
      <c r="B52" s="53" t="s">
        <v>15</v>
      </c>
      <c r="C52" s="53"/>
      <c r="D52" s="54"/>
      <c r="E52" s="29" t="s">
        <v>40</v>
      </c>
      <c r="F52" s="29" t="s">
        <v>16</v>
      </c>
      <c r="G52" s="29"/>
      <c r="H52" s="30" t="s">
        <v>43</v>
      </c>
      <c r="I52" s="29"/>
      <c r="J52" s="29"/>
      <c r="N52" s="14"/>
      <c r="O52" s="14"/>
      <c r="P52" s="14"/>
      <c r="Q52" s="14"/>
      <c r="R52" s="14"/>
      <c r="S52" s="14"/>
      <c r="T52" s="14"/>
      <c r="U52" s="14"/>
      <c r="V52" s="14"/>
      <c r="W52" s="14"/>
      <c r="X52" s="14"/>
      <c r="Y52" s="14"/>
      <c r="Z52" s="14"/>
      <c r="AA52" s="14"/>
      <c r="AB52" s="14"/>
      <c r="AC52" s="14"/>
      <c r="AD52" s="14"/>
      <c r="AE52" s="14"/>
    </row>
    <row r="53" spans="2:31" ht="15" x14ac:dyDescent="0.3">
      <c r="B53" s="55" t="s">
        <v>18</v>
      </c>
      <c r="C53" s="31" t="s">
        <v>17</v>
      </c>
      <c r="E53" s="31" t="s">
        <v>20</v>
      </c>
      <c r="F53" s="31" t="s">
        <v>19</v>
      </c>
      <c r="G53" s="31" t="s">
        <v>18</v>
      </c>
      <c r="H53" s="31" t="s">
        <v>41</v>
      </c>
      <c r="I53" s="31" t="s">
        <v>60</v>
      </c>
      <c r="J53" s="31" t="s">
        <v>61</v>
      </c>
      <c r="N53" s="14"/>
      <c r="O53" s="14"/>
      <c r="P53" s="14"/>
      <c r="Q53" s="14"/>
      <c r="R53" s="14"/>
      <c r="S53" s="14"/>
      <c r="T53" s="14"/>
      <c r="U53" s="14"/>
      <c r="V53" s="14"/>
      <c r="W53" s="14"/>
      <c r="X53" s="14"/>
      <c r="Y53" s="14"/>
      <c r="Z53" s="14"/>
      <c r="AA53" s="14"/>
      <c r="AB53" s="14"/>
      <c r="AC53" s="14"/>
      <c r="AD53" s="14"/>
      <c r="AE53" s="14"/>
    </row>
    <row r="54" spans="2:31" ht="15.75" thickBot="1" x14ac:dyDescent="0.35">
      <c r="B54" s="55" t="s">
        <v>21</v>
      </c>
      <c r="C54" s="31" t="s">
        <v>44</v>
      </c>
      <c r="E54" s="31" t="s">
        <v>23</v>
      </c>
      <c r="F54" s="31" t="s">
        <v>22</v>
      </c>
      <c r="G54" s="31" t="s">
        <v>21</v>
      </c>
      <c r="H54" s="31" t="s">
        <v>42</v>
      </c>
      <c r="I54" s="31" t="s">
        <v>42</v>
      </c>
      <c r="J54" s="31" t="s">
        <v>42</v>
      </c>
      <c r="N54" s="14"/>
      <c r="O54" s="14"/>
      <c r="P54" s="14"/>
      <c r="Q54" s="14"/>
      <c r="R54" s="14"/>
      <c r="S54" s="14"/>
      <c r="T54" s="14"/>
      <c r="U54" s="14"/>
      <c r="V54" s="14"/>
      <c r="W54" s="14"/>
      <c r="X54" s="14"/>
      <c r="Y54" s="14"/>
      <c r="Z54" s="14"/>
      <c r="AA54" s="14"/>
      <c r="AB54" s="14"/>
      <c r="AC54" s="14"/>
      <c r="AD54" s="14"/>
      <c r="AE54" s="14"/>
    </row>
    <row r="55" spans="2:31" ht="14.25" thickTop="1" x14ac:dyDescent="0.25">
      <c r="B55" s="33">
        <v>10</v>
      </c>
      <c r="C55" s="33">
        <v>0</v>
      </c>
      <c r="D55" s="56"/>
      <c r="E55" s="34">
        <f>(B55/10000/2)^3*PI()*4/3*1</f>
        <v>5.2359877559829886E-10</v>
      </c>
      <c r="F55" s="34">
        <f t="shared" ref="F55:F75" si="5">E55*$E$7/1000000/$E$8</f>
        <v>1.466076571675237E-12</v>
      </c>
      <c r="G55" s="35">
        <f t="shared" ref="G55:G75" si="6">(F55*3/4/PI())^(1/3)*2*10000</f>
        <v>1.4094597464129792</v>
      </c>
      <c r="H55" s="57"/>
      <c r="I55" s="57" t="str">
        <f>IF($G55&lt;10,"",(C$55/100))</f>
        <v/>
      </c>
      <c r="J55" s="57" t="str">
        <f>IF($G55&lt;2.5,"",($C55/100))</f>
        <v/>
      </c>
      <c r="N55" s="14"/>
      <c r="O55" s="14"/>
      <c r="P55" s="14"/>
      <c r="Q55" s="14"/>
      <c r="R55" s="14"/>
      <c r="S55" s="14"/>
      <c r="T55" s="14"/>
      <c r="U55" s="14"/>
      <c r="V55" s="14"/>
      <c r="W55" s="14"/>
      <c r="X55" s="14"/>
      <c r="Y55" s="14"/>
      <c r="Z55" s="14"/>
      <c r="AA55" s="14"/>
      <c r="AB55" s="14"/>
      <c r="AC55" s="14"/>
      <c r="AD55" s="14"/>
      <c r="AE55" s="14"/>
    </row>
    <row r="56" spans="2:31" x14ac:dyDescent="0.25">
      <c r="B56" s="39">
        <v>20</v>
      </c>
      <c r="C56" s="39">
        <v>0.19600000000000001</v>
      </c>
      <c r="E56" s="40">
        <f t="shared" ref="E56:E75" si="7">(B56/10000/2)^3*PI()*4/3*1</f>
        <v>4.1887902047863909E-9</v>
      </c>
      <c r="F56" s="40">
        <f t="shared" si="5"/>
        <v>1.1728612573401896E-11</v>
      </c>
      <c r="G56" s="38">
        <f t="shared" si="6"/>
        <v>2.8189194928259589</v>
      </c>
      <c r="H56" s="37"/>
      <c r="I56" s="37" t="str">
        <f>IF($G56&lt;10,"",IF($G55&gt;=10,"",($C56/100)))</f>
        <v/>
      </c>
      <c r="J56" s="37">
        <f>IF($G56&lt;2.5,"",IF($G55&gt;=2.5,"",($C56/100)))</f>
        <v>1.9599999999999999E-3</v>
      </c>
      <c r="N56" s="14"/>
      <c r="O56" s="14"/>
      <c r="P56" s="14"/>
      <c r="Q56" s="14"/>
      <c r="R56" s="14"/>
      <c r="S56" s="14"/>
      <c r="T56" s="14"/>
      <c r="U56" s="14"/>
      <c r="V56" s="14"/>
      <c r="W56" s="14"/>
      <c r="X56" s="14"/>
      <c r="Y56" s="14"/>
      <c r="Z56" s="14"/>
      <c r="AA56" s="14"/>
      <c r="AB56" s="14"/>
      <c r="AC56" s="14"/>
      <c r="AD56" s="14"/>
      <c r="AE56" s="14"/>
    </row>
    <row r="57" spans="2:31" x14ac:dyDescent="0.25">
      <c r="B57" s="39">
        <v>30</v>
      </c>
      <c r="C57" s="39">
        <v>0.22600000000000001</v>
      </c>
      <c r="E57" s="40">
        <f t="shared" si="7"/>
        <v>1.4137166941154068E-8</v>
      </c>
      <c r="F57" s="40">
        <f t="shared" si="5"/>
        <v>3.9584067435231389E-11</v>
      </c>
      <c r="G57" s="38">
        <f t="shared" si="6"/>
        <v>4.2283792392389348</v>
      </c>
      <c r="H57" s="37"/>
      <c r="I57" s="37" t="str">
        <f t="shared" ref="I57:I72" si="8">IF($G57&lt;10,"",IF($G56&gt;=10,"",($C57/100)))</f>
        <v/>
      </c>
      <c r="J57" s="37" t="str">
        <f t="shared" ref="J57:J72" si="9">IF($G57&lt;2.5,"",IF($G56&gt;=2.5,"",($C57/100)))</f>
        <v/>
      </c>
    </row>
    <row r="58" spans="2:31" x14ac:dyDescent="0.25">
      <c r="B58" s="39">
        <v>40</v>
      </c>
      <c r="C58" s="39">
        <v>0.51400000000000001</v>
      </c>
      <c r="E58" s="40">
        <f t="shared" si="7"/>
        <v>3.3510321638291127E-8</v>
      </c>
      <c r="F58" s="40">
        <f t="shared" si="5"/>
        <v>9.3828900587215167E-11</v>
      </c>
      <c r="G58" s="38">
        <f t="shared" si="6"/>
        <v>5.6378389856519178</v>
      </c>
      <c r="H58" s="37"/>
      <c r="I58" s="37" t="str">
        <f t="shared" si="8"/>
        <v/>
      </c>
      <c r="J58" s="37" t="str">
        <f t="shared" si="9"/>
        <v/>
      </c>
    </row>
    <row r="59" spans="2:31" x14ac:dyDescent="0.25">
      <c r="B59" s="39">
        <v>50</v>
      </c>
      <c r="C59" s="39">
        <v>1.8160000000000001</v>
      </c>
      <c r="E59" s="40">
        <f t="shared" si="7"/>
        <v>6.5449846949787365E-8</v>
      </c>
      <c r="F59" s="40">
        <f t="shared" si="5"/>
        <v>1.8325957145940462E-10</v>
      </c>
      <c r="G59" s="38">
        <f t="shared" si="6"/>
        <v>7.0472987320648972</v>
      </c>
      <c r="H59" s="37"/>
      <c r="I59" s="37" t="str">
        <f t="shared" si="8"/>
        <v/>
      </c>
      <c r="J59" s="37" t="str">
        <f t="shared" si="9"/>
        <v/>
      </c>
    </row>
    <row r="60" spans="2:31" x14ac:dyDescent="0.25">
      <c r="B60" s="39">
        <v>60</v>
      </c>
      <c r="C60" s="39">
        <v>5.702</v>
      </c>
      <c r="E60" s="40">
        <f t="shared" si="7"/>
        <v>1.1309733552923255E-7</v>
      </c>
      <c r="F60" s="40">
        <f t="shared" si="5"/>
        <v>3.1667253948185111E-10</v>
      </c>
      <c r="G60" s="38">
        <f t="shared" si="6"/>
        <v>8.4567584784778713</v>
      </c>
      <c r="H60" s="37"/>
      <c r="I60" s="37" t="str">
        <f t="shared" si="8"/>
        <v/>
      </c>
      <c r="J60" s="37" t="str">
        <f t="shared" si="9"/>
        <v/>
      </c>
    </row>
    <row r="61" spans="2:31" x14ac:dyDescent="0.25">
      <c r="B61" s="39">
        <v>70</v>
      </c>
      <c r="C61" s="39">
        <v>21.347999999999999</v>
      </c>
      <c r="E61" s="40">
        <f t="shared" si="7"/>
        <v>1.7959438003021651E-7</v>
      </c>
      <c r="F61" s="40">
        <f t="shared" si="5"/>
        <v>5.028642640846063E-10</v>
      </c>
      <c r="G61" s="38">
        <f t="shared" si="6"/>
        <v>9.8662182248908472</v>
      </c>
      <c r="H61" s="37"/>
      <c r="I61" s="37" t="str">
        <f t="shared" si="8"/>
        <v/>
      </c>
      <c r="J61" s="37" t="str">
        <f t="shared" si="9"/>
        <v/>
      </c>
    </row>
    <row r="62" spans="2:31" x14ac:dyDescent="0.25">
      <c r="B62" s="39">
        <v>90</v>
      </c>
      <c r="C62" s="39">
        <v>49.811999999999998</v>
      </c>
      <c r="E62" s="40">
        <f t="shared" si="7"/>
        <v>3.8170350741115974E-7</v>
      </c>
      <c r="F62" s="40">
        <f t="shared" si="5"/>
        <v>1.0687698207512473E-9</v>
      </c>
      <c r="G62" s="38">
        <f t="shared" si="6"/>
        <v>12.685137717716808</v>
      </c>
      <c r="H62" s="37"/>
      <c r="I62" s="37">
        <f t="shared" si="8"/>
        <v>0.49811999999999995</v>
      </c>
      <c r="J62" s="37" t="str">
        <f t="shared" si="9"/>
        <v/>
      </c>
    </row>
    <row r="63" spans="2:31" x14ac:dyDescent="0.25">
      <c r="B63" s="39">
        <v>110</v>
      </c>
      <c r="C63" s="39">
        <v>70.509</v>
      </c>
      <c r="E63" s="40">
        <f t="shared" si="7"/>
        <v>6.9690997032133562E-7</v>
      </c>
      <c r="F63" s="40">
        <f t="shared" si="5"/>
        <v>1.9513479168997396E-9</v>
      </c>
      <c r="G63" s="38">
        <f t="shared" si="6"/>
        <v>15.50405721054276</v>
      </c>
      <c r="H63" s="37"/>
      <c r="I63" s="37" t="str">
        <f t="shared" si="8"/>
        <v/>
      </c>
      <c r="J63" s="37" t="str">
        <f t="shared" si="9"/>
        <v/>
      </c>
    </row>
    <row r="64" spans="2:31" x14ac:dyDescent="0.25">
      <c r="B64" s="39">
        <v>130</v>
      </c>
      <c r="C64" s="39">
        <v>82.022999999999996</v>
      </c>
      <c r="E64" s="40">
        <f t="shared" si="7"/>
        <v>1.1503465099894625E-6</v>
      </c>
      <c r="F64" s="40">
        <f t="shared" si="5"/>
        <v>3.2209702279704949E-9</v>
      </c>
      <c r="G64" s="38">
        <f t="shared" si="6"/>
        <v>18.32297670336872</v>
      </c>
      <c r="H64" s="37"/>
      <c r="I64" s="37" t="str">
        <f t="shared" si="8"/>
        <v/>
      </c>
      <c r="J64" s="37" t="str">
        <f t="shared" si="9"/>
        <v/>
      </c>
    </row>
    <row r="65" spans="2:10" x14ac:dyDescent="0.25">
      <c r="B65" s="39">
        <v>150</v>
      </c>
      <c r="C65" s="39">
        <v>88.012</v>
      </c>
      <c r="E65" s="40">
        <f t="shared" si="7"/>
        <v>1.7671458676442586E-6</v>
      </c>
      <c r="F65" s="40">
        <f t="shared" si="5"/>
        <v>4.9480084294039241E-9</v>
      </c>
      <c r="G65" s="38">
        <f t="shared" si="6"/>
        <v>21.141896196194697</v>
      </c>
      <c r="H65" s="37"/>
      <c r="I65" s="37" t="str">
        <f t="shared" si="8"/>
        <v/>
      </c>
      <c r="J65" s="37" t="str">
        <f t="shared" si="9"/>
        <v/>
      </c>
    </row>
    <row r="66" spans="2:10" x14ac:dyDescent="0.25">
      <c r="B66" s="39">
        <v>180</v>
      </c>
      <c r="C66" s="39">
        <v>91.031999999999996</v>
      </c>
      <c r="E66" s="40">
        <f t="shared" si="7"/>
        <v>3.053628059289278E-6</v>
      </c>
      <c r="F66" s="40">
        <f t="shared" si="5"/>
        <v>8.5501585660099787E-9</v>
      </c>
      <c r="G66" s="38">
        <f t="shared" si="6"/>
        <v>25.370275435433598</v>
      </c>
      <c r="H66" s="37"/>
      <c r="I66" s="37" t="str">
        <f t="shared" si="8"/>
        <v/>
      </c>
      <c r="J66" s="37" t="str">
        <f t="shared" si="9"/>
        <v/>
      </c>
    </row>
    <row r="67" spans="2:10" x14ac:dyDescent="0.25">
      <c r="B67" s="39">
        <v>210</v>
      </c>
      <c r="C67" s="39">
        <v>92.468000000000004</v>
      </c>
      <c r="E67" s="40">
        <f t="shared" si="7"/>
        <v>4.8490482608158467E-6</v>
      </c>
      <c r="F67" s="40">
        <f t="shared" si="5"/>
        <v>1.357733513028437E-8</v>
      </c>
      <c r="G67" s="38">
        <f t="shared" si="6"/>
        <v>29.598654674672549</v>
      </c>
      <c r="H67" s="37"/>
      <c r="I67" s="37" t="str">
        <f t="shared" si="8"/>
        <v/>
      </c>
      <c r="J67" s="37" t="str">
        <f t="shared" si="9"/>
        <v/>
      </c>
    </row>
    <row r="68" spans="2:10" x14ac:dyDescent="0.25">
      <c r="B68" s="39">
        <v>240</v>
      </c>
      <c r="C68" s="39">
        <v>94.090999999999994</v>
      </c>
      <c r="E68" s="40">
        <f t="shared" si="7"/>
        <v>7.2382294738708829E-6</v>
      </c>
      <c r="F68" s="40">
        <f t="shared" si="5"/>
        <v>2.0267042526838471E-8</v>
      </c>
      <c r="G68" s="38">
        <f t="shared" si="6"/>
        <v>33.827033913911492</v>
      </c>
      <c r="H68" s="37"/>
      <c r="I68" s="37" t="str">
        <f t="shared" si="8"/>
        <v/>
      </c>
      <c r="J68" s="37" t="str">
        <f t="shared" si="9"/>
        <v/>
      </c>
    </row>
    <row r="69" spans="2:10" x14ac:dyDescent="0.25">
      <c r="B69" s="39">
        <v>270</v>
      </c>
      <c r="C69" s="39">
        <v>94.688999999999993</v>
      </c>
      <c r="E69" s="40">
        <f t="shared" si="7"/>
        <v>1.0305994700101316E-5</v>
      </c>
      <c r="F69" s="40">
        <f t="shared" si="5"/>
        <v>2.8856785160283683E-8</v>
      </c>
      <c r="G69" s="38">
        <f t="shared" si="6"/>
        <v>38.05541315315044</v>
      </c>
      <c r="H69" s="37"/>
      <c r="I69" s="37" t="str">
        <f t="shared" si="8"/>
        <v/>
      </c>
      <c r="J69" s="37" t="str">
        <f t="shared" si="9"/>
        <v/>
      </c>
    </row>
    <row r="70" spans="2:10" x14ac:dyDescent="0.25">
      <c r="B70" s="39">
        <v>300</v>
      </c>
      <c r="C70" s="39">
        <v>96.287999999999997</v>
      </c>
      <c r="E70" s="40">
        <f t="shared" si="7"/>
        <v>1.4137166941154069E-5</v>
      </c>
      <c r="F70" s="40">
        <f t="shared" si="5"/>
        <v>3.9584067435231393E-8</v>
      </c>
      <c r="G70" s="38">
        <f t="shared" si="6"/>
        <v>42.283792392389358</v>
      </c>
      <c r="H70" s="37"/>
      <c r="I70" s="37" t="str">
        <f t="shared" si="8"/>
        <v/>
      </c>
      <c r="J70" s="37" t="str">
        <f t="shared" si="9"/>
        <v/>
      </c>
    </row>
    <row r="71" spans="2:10" x14ac:dyDescent="0.25">
      <c r="B71" s="39">
        <v>350</v>
      </c>
      <c r="C71" s="39">
        <v>97.010999999999996</v>
      </c>
      <c r="E71" s="40">
        <f t="shared" si="7"/>
        <v>2.2449297503777067E-5</v>
      </c>
      <c r="F71" s="40">
        <f t="shared" si="5"/>
        <v>6.2858033010575795E-8</v>
      </c>
      <c r="G71" s="38">
        <f t="shared" si="6"/>
        <v>49.33109112445424</v>
      </c>
      <c r="H71" s="37"/>
      <c r="I71" s="37" t="str">
        <f t="shared" si="8"/>
        <v/>
      </c>
      <c r="J71" s="37" t="str">
        <f t="shared" si="9"/>
        <v/>
      </c>
    </row>
    <row r="72" spans="2:10" x14ac:dyDescent="0.25">
      <c r="B72" s="39">
        <v>400</v>
      </c>
      <c r="C72" s="39">
        <v>98.34</v>
      </c>
      <c r="E72" s="40">
        <f t="shared" si="7"/>
        <v>3.3510321638291131E-5</v>
      </c>
      <c r="F72" s="40">
        <f t="shared" si="5"/>
        <v>9.3828900587215167E-8</v>
      </c>
      <c r="G72" s="38">
        <f t="shared" si="6"/>
        <v>56.378389856519142</v>
      </c>
      <c r="H72" s="37"/>
      <c r="I72" s="37" t="str">
        <f t="shared" si="8"/>
        <v/>
      </c>
      <c r="J72" s="37" t="str">
        <f t="shared" si="9"/>
        <v/>
      </c>
    </row>
    <row r="73" spans="2:10" x14ac:dyDescent="0.25">
      <c r="B73" s="41">
        <v>450</v>
      </c>
      <c r="C73" s="39">
        <v>99.070999999999998</v>
      </c>
      <c r="E73" s="40">
        <f t="shared" si="7"/>
        <v>4.7712938426394982E-5</v>
      </c>
      <c r="F73" s="40">
        <f t="shared" si="5"/>
        <v>1.3359622759390594E-7</v>
      </c>
      <c r="G73" s="38">
        <f t="shared" si="6"/>
        <v>63.425688588584052</v>
      </c>
      <c r="H73" s="37">
        <f>(C73/100)</f>
        <v>0.99070999999999998</v>
      </c>
      <c r="I73" s="37" t="str">
        <f>IF($G74&lt;10,H73,IF($G73&lt;10,"",IF($G72&gt;=10,"",($C73/100))))</f>
        <v/>
      </c>
      <c r="J73" s="37" t="str">
        <f>IF($G74&lt;2.5,H73,IF($G73&lt;2.5,"",IF($G72&gt;=2.5,"",($C73/100))))</f>
        <v/>
      </c>
    </row>
    <row r="74" spans="2:10" x14ac:dyDescent="0.25">
      <c r="B74" s="39">
        <v>500</v>
      </c>
      <c r="C74" s="39">
        <v>99.070999999999998</v>
      </c>
      <c r="E74" s="40">
        <f t="shared" si="7"/>
        <v>6.5449846949787365E-5</v>
      </c>
      <c r="F74" s="40">
        <f t="shared" si="5"/>
        <v>1.8325957145940462E-7</v>
      </c>
      <c r="G74" s="38">
        <f t="shared" si="6"/>
        <v>70.472987320648983</v>
      </c>
      <c r="H74" s="37"/>
      <c r="I74" s="37"/>
      <c r="J74" s="37"/>
    </row>
    <row r="75" spans="2:10" ht="14.25" thickBot="1" x14ac:dyDescent="0.3">
      <c r="B75" s="46">
        <v>600</v>
      </c>
      <c r="C75" s="46">
        <v>100</v>
      </c>
      <c r="D75" s="58"/>
      <c r="E75" s="47">
        <f t="shared" si="7"/>
        <v>1.1309733552923255E-4</v>
      </c>
      <c r="F75" s="47">
        <f t="shared" si="5"/>
        <v>3.1667253948185114E-7</v>
      </c>
      <c r="G75" s="48">
        <f t="shared" si="6"/>
        <v>84.567584784778802</v>
      </c>
      <c r="H75" s="50"/>
      <c r="I75" s="50"/>
      <c r="J75" s="50"/>
    </row>
    <row r="76" spans="2:10" ht="15.75" thickTop="1" x14ac:dyDescent="0.3">
      <c r="B76" s="59" t="s">
        <v>51</v>
      </c>
    </row>
    <row r="77" spans="2:10" ht="15" x14ac:dyDescent="0.3">
      <c r="B77" s="59" t="s">
        <v>49</v>
      </c>
    </row>
    <row r="78" spans="2:10" ht="15" x14ac:dyDescent="0.3">
      <c r="B78" s="59" t="s">
        <v>50</v>
      </c>
    </row>
    <row r="79" spans="2:10" ht="15" x14ac:dyDescent="0.3">
      <c r="B79" s="17" t="s">
        <v>62</v>
      </c>
    </row>
    <row r="80" spans="2:10" ht="15" x14ac:dyDescent="0.3">
      <c r="B80" s="17" t="s">
        <v>63</v>
      </c>
    </row>
    <row r="82" spans="2:13" ht="15" x14ac:dyDescent="0.3">
      <c r="B82" s="60" t="s">
        <v>52</v>
      </c>
      <c r="E82" s="59" t="str">
        <f>G5</f>
        <v>High Efficiency</v>
      </c>
    </row>
    <row r="84" spans="2:13" x14ac:dyDescent="0.25">
      <c r="B84" s="24" t="s">
        <v>6</v>
      </c>
      <c r="C84" s="14"/>
      <c r="D84" s="14"/>
      <c r="E84" s="14"/>
      <c r="F84" s="14"/>
      <c r="G84" s="14"/>
      <c r="H84" s="14"/>
      <c r="I84" s="14"/>
      <c r="J84" s="14"/>
      <c r="K84" s="14"/>
      <c r="L84" s="14"/>
      <c r="M84" s="14"/>
    </row>
    <row r="85" spans="2:13" x14ac:dyDescent="0.25">
      <c r="B85" s="14"/>
      <c r="C85" s="14"/>
      <c r="D85" s="14"/>
      <c r="E85" s="14"/>
      <c r="F85" s="14"/>
      <c r="G85" s="14"/>
      <c r="H85" s="14"/>
      <c r="I85" s="14"/>
      <c r="J85" s="14"/>
      <c r="K85" s="14"/>
      <c r="L85" s="14"/>
      <c r="M85" s="14"/>
    </row>
    <row r="86" spans="2:13" x14ac:dyDescent="0.25">
      <c r="B86" s="61">
        <f>E6</f>
        <v>12000</v>
      </c>
      <c r="C86" s="62" t="s">
        <v>8</v>
      </c>
      <c r="D86" s="63">
        <v>8.33</v>
      </c>
      <c r="E86" s="64" t="s">
        <v>9</v>
      </c>
      <c r="F86" s="63">
        <v>60</v>
      </c>
      <c r="G86" s="65" t="s">
        <v>10</v>
      </c>
      <c r="H86" s="66">
        <f>E5</f>
        <v>5.0000000000000004E-6</v>
      </c>
      <c r="I86" s="64" t="s">
        <v>11</v>
      </c>
      <c r="J86" s="67" t="s">
        <v>12</v>
      </c>
      <c r="K86" s="61">
        <f>B86/B87*D86/D87*F86/F87*H86</f>
        <v>29.988000000000003</v>
      </c>
      <c r="L86" s="62" t="s">
        <v>13</v>
      </c>
      <c r="M86" s="14"/>
    </row>
    <row r="87" spans="2:13" x14ac:dyDescent="0.25">
      <c r="B87" s="21">
        <v>1</v>
      </c>
      <c r="C87" s="16" t="s">
        <v>10</v>
      </c>
      <c r="D87" s="68">
        <v>1</v>
      </c>
      <c r="E87" s="14" t="s">
        <v>8</v>
      </c>
      <c r="F87" s="68">
        <v>1</v>
      </c>
      <c r="G87" s="14" t="s">
        <v>14</v>
      </c>
      <c r="H87" s="69"/>
      <c r="I87" s="14"/>
      <c r="J87" s="14"/>
      <c r="K87" s="14"/>
      <c r="L87" s="14" t="s">
        <v>14</v>
      </c>
      <c r="M87" s="14"/>
    </row>
    <row r="88" spans="2:13" x14ac:dyDescent="0.25">
      <c r="B88" s="14"/>
      <c r="C88" s="14"/>
      <c r="D88" s="14"/>
      <c r="E88" s="14"/>
      <c r="F88" s="14"/>
      <c r="G88" s="14"/>
      <c r="H88" s="14"/>
      <c r="I88" s="14"/>
      <c r="J88" s="14"/>
      <c r="K88" s="14"/>
      <c r="L88" s="14"/>
      <c r="M88" s="14"/>
    </row>
    <row r="89" spans="2:13" ht="15" x14ac:dyDescent="0.3">
      <c r="B89" s="25" t="s">
        <v>24</v>
      </c>
      <c r="C89" s="14"/>
      <c r="D89" s="14"/>
      <c r="E89" s="14"/>
      <c r="F89" s="14"/>
      <c r="G89" s="14"/>
      <c r="H89" s="14"/>
      <c r="I89" s="14"/>
      <c r="J89" s="14"/>
      <c r="K89" s="14"/>
      <c r="L89" s="14"/>
      <c r="M89" s="14"/>
    </row>
    <row r="90" spans="2:13" x14ac:dyDescent="0.25">
      <c r="B90" s="14"/>
      <c r="C90" s="14"/>
      <c r="D90" s="14"/>
      <c r="E90" s="14"/>
      <c r="F90" s="14"/>
      <c r="G90" s="14"/>
      <c r="H90" s="24"/>
      <c r="I90" s="14"/>
      <c r="J90" s="14"/>
      <c r="K90" s="14"/>
      <c r="L90" s="14"/>
      <c r="M90" s="14"/>
    </row>
    <row r="91" spans="2:13" ht="15" x14ac:dyDescent="0.3">
      <c r="B91" s="70">
        <f>K86</f>
        <v>29.988000000000003</v>
      </c>
      <c r="C91" s="65" t="s">
        <v>25</v>
      </c>
      <c r="D91" s="71">
        <f>E7</f>
        <v>7000</v>
      </c>
      <c r="E91" s="64" t="s">
        <v>26</v>
      </c>
      <c r="F91" s="72">
        <f>IF($G$5="Low Efficiency",SUM($H$24:$H$44),SUM($H$55:$H$75))</f>
        <v>0.99070999999999998</v>
      </c>
      <c r="G91" s="64" t="s">
        <v>41</v>
      </c>
      <c r="H91" s="67" t="s">
        <v>12</v>
      </c>
      <c r="I91" s="73">
        <f>B91*D91/D92*F91</f>
        <v>0.20796588036000002</v>
      </c>
      <c r="J91" s="62" t="s">
        <v>26</v>
      </c>
      <c r="K91" s="67" t="s">
        <v>12</v>
      </c>
      <c r="L91" s="74">
        <f>I91*8760/2000</f>
        <v>0.91089055597680013</v>
      </c>
      <c r="M91" s="75" t="s">
        <v>27</v>
      </c>
    </row>
    <row r="92" spans="2:13" ht="15" x14ac:dyDescent="0.3">
      <c r="B92" s="14"/>
      <c r="C92" s="14" t="s">
        <v>14</v>
      </c>
      <c r="D92" s="76">
        <v>1000000</v>
      </c>
      <c r="E92" s="14" t="s">
        <v>25</v>
      </c>
      <c r="F92" s="76"/>
      <c r="G92" s="14"/>
      <c r="H92" s="14"/>
      <c r="I92" s="77"/>
      <c r="J92" s="14" t="s">
        <v>14</v>
      </c>
      <c r="K92" s="14"/>
      <c r="L92" s="52"/>
      <c r="M92" s="15" t="s">
        <v>28</v>
      </c>
    </row>
    <row r="93" spans="2:13" ht="15" x14ac:dyDescent="0.3">
      <c r="B93" s="14"/>
      <c r="C93" s="14"/>
      <c r="D93" s="14"/>
      <c r="E93" s="14"/>
      <c r="F93" s="14"/>
      <c r="G93" s="14"/>
      <c r="H93" s="14"/>
      <c r="I93" s="52"/>
      <c r="J93" s="15"/>
      <c r="K93" s="14"/>
      <c r="L93" s="77"/>
      <c r="M93" s="14"/>
    </row>
    <row r="94" spans="2:13" ht="16.5" x14ac:dyDescent="0.35">
      <c r="B94" s="44" t="s">
        <v>56</v>
      </c>
      <c r="C94" s="14"/>
      <c r="D94" s="14"/>
      <c r="E94" s="14"/>
      <c r="F94" s="14"/>
      <c r="G94" s="14"/>
      <c r="H94" s="14"/>
      <c r="I94" s="52"/>
      <c r="J94" s="15"/>
      <c r="K94" s="14"/>
      <c r="L94" s="77"/>
      <c r="M94" s="14"/>
    </row>
    <row r="95" spans="2:13" ht="15" x14ac:dyDescent="0.3">
      <c r="B95" s="14"/>
      <c r="C95" s="14"/>
      <c r="D95" s="14"/>
      <c r="E95" s="14"/>
      <c r="F95" s="14"/>
      <c r="G95" s="14"/>
      <c r="H95" s="14"/>
      <c r="I95" s="52"/>
      <c r="J95" s="15"/>
      <c r="K95" s="14"/>
      <c r="L95" s="77"/>
      <c r="M95" s="14"/>
    </row>
    <row r="96" spans="2:13" ht="15" x14ac:dyDescent="0.3">
      <c r="B96" s="70">
        <f>K86</f>
        <v>29.988000000000003</v>
      </c>
      <c r="C96" s="62" t="s">
        <v>25</v>
      </c>
      <c r="D96" s="71">
        <f>E7</f>
        <v>7000</v>
      </c>
      <c r="E96" s="64" t="s">
        <v>26</v>
      </c>
      <c r="F96" s="72">
        <f>IF($G$5="Low Efficiency",SUM($I$24:$I$44),SUM($I$55:$I$75))</f>
        <v>0.49811999999999995</v>
      </c>
      <c r="G96" s="64" t="s">
        <v>60</v>
      </c>
      <c r="H96" s="67" t="s">
        <v>12</v>
      </c>
      <c r="I96" s="73">
        <f>B96*D96/D97*F96</f>
        <v>0.10456335792</v>
      </c>
      <c r="J96" s="62" t="s">
        <v>29</v>
      </c>
      <c r="K96" s="67" t="s">
        <v>12</v>
      </c>
      <c r="L96" s="74">
        <f>I96*8760/2000</f>
        <v>0.4579875076896</v>
      </c>
      <c r="M96" s="75" t="s">
        <v>30</v>
      </c>
    </row>
    <row r="97" spans="2:13" ht="15" x14ac:dyDescent="0.3">
      <c r="B97" s="14"/>
      <c r="C97" s="14" t="s">
        <v>14</v>
      </c>
      <c r="D97" s="76">
        <v>1000000</v>
      </c>
      <c r="E97" s="14" t="s">
        <v>25</v>
      </c>
      <c r="F97" s="76"/>
      <c r="G97" s="14"/>
      <c r="H97" s="14"/>
      <c r="I97" s="14"/>
      <c r="J97" s="14" t="s">
        <v>14</v>
      </c>
      <c r="K97" s="14"/>
      <c r="L97" s="52"/>
      <c r="M97" s="15" t="s">
        <v>28</v>
      </c>
    </row>
    <row r="98" spans="2:13" ht="15" x14ac:dyDescent="0.3">
      <c r="B98" s="14"/>
      <c r="C98" s="14"/>
      <c r="D98" s="14"/>
      <c r="E98" s="14"/>
      <c r="F98" s="14"/>
      <c r="G98" s="14"/>
      <c r="H98" s="14"/>
      <c r="I98" s="15"/>
      <c r="J98" s="15"/>
      <c r="K98" s="14"/>
      <c r="L98" s="77"/>
      <c r="M98" s="14"/>
    </row>
    <row r="99" spans="2:13" ht="16.5" x14ac:dyDescent="0.35">
      <c r="B99" s="44" t="s">
        <v>57</v>
      </c>
      <c r="C99" s="14"/>
      <c r="D99" s="14"/>
      <c r="E99" s="14"/>
      <c r="F99" s="14"/>
      <c r="G99" s="14"/>
      <c r="H99" s="14"/>
      <c r="I99" s="15"/>
      <c r="J99" s="15"/>
      <c r="K99" s="14"/>
      <c r="L99" s="77"/>
      <c r="M99" s="14"/>
    </row>
    <row r="100" spans="2:13" ht="15" x14ac:dyDescent="0.3">
      <c r="B100" s="14"/>
      <c r="C100" s="14"/>
      <c r="D100" s="14"/>
      <c r="E100" s="14"/>
      <c r="F100" s="14"/>
      <c r="G100" s="14"/>
      <c r="H100" s="14"/>
      <c r="I100" s="15"/>
      <c r="J100" s="15"/>
      <c r="K100" s="14"/>
      <c r="L100" s="77"/>
      <c r="M100" s="14"/>
    </row>
    <row r="101" spans="2:13" ht="15" x14ac:dyDescent="0.3">
      <c r="B101" s="70">
        <f>K86</f>
        <v>29.988000000000003</v>
      </c>
      <c r="C101" s="62" t="s">
        <v>25</v>
      </c>
      <c r="D101" s="71">
        <f>E7</f>
        <v>7000</v>
      </c>
      <c r="E101" s="64" t="s">
        <v>26</v>
      </c>
      <c r="F101" s="72">
        <f>IF($G$5="Low Efficiency",SUM($J$24:$J$44),SUM($J$55:$J$75))</f>
        <v>1.9599999999999999E-3</v>
      </c>
      <c r="G101" s="64" t="s">
        <v>61</v>
      </c>
      <c r="H101" s="67" t="s">
        <v>12</v>
      </c>
      <c r="I101" s="73">
        <f>B101*D101/D102*F101</f>
        <v>4.1143536000000001E-4</v>
      </c>
      <c r="J101" s="62" t="s">
        <v>31</v>
      </c>
      <c r="K101" s="67" t="s">
        <v>12</v>
      </c>
      <c r="L101" s="74">
        <f>I101*8760/2000</f>
        <v>1.8020868768000001E-3</v>
      </c>
      <c r="M101" s="75" t="s">
        <v>32</v>
      </c>
    </row>
    <row r="102" spans="2:13" ht="15" x14ac:dyDescent="0.3">
      <c r="B102" s="14"/>
      <c r="C102" s="14" t="s">
        <v>14</v>
      </c>
      <c r="D102" s="76">
        <v>1000000</v>
      </c>
      <c r="E102" s="14" t="s">
        <v>25</v>
      </c>
      <c r="F102" s="76"/>
      <c r="G102" s="14"/>
      <c r="H102" s="14"/>
      <c r="I102" s="14"/>
      <c r="J102" s="14" t="s">
        <v>14</v>
      </c>
      <c r="K102" s="14"/>
      <c r="L102" s="15"/>
      <c r="M102" s="15" t="s">
        <v>28</v>
      </c>
    </row>
  </sheetData>
  <mergeCells count="1">
    <mergeCell ref="G5:H5"/>
  </mergeCells>
  <conditionalFormatting sqref="H24:J44 H55:J75">
    <cfRule type="notContainsBlanks" dxfId="0" priority="3">
      <formula>LEN(TRIM(H24))&gt;0</formula>
    </cfRule>
  </conditionalFormatting>
  <pageMargins left="0.7" right="0.7" top="0.75" bottom="0.75" header="0.3" footer="0.3"/>
  <pageSetup scale="76" orientation="portrait" r:id="rId1"/>
  <rowBreaks count="1" manualBreakCount="1">
    <brk id="4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Air Sciences Inc.</vt:lpstr>
      <vt:lpstr>Cooling Tower Calculator</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Huelson</dc:creator>
  <cp:lastModifiedBy>Shaleen Gearhart</cp:lastModifiedBy>
  <cp:lastPrinted>2017-08-23T21:10:32Z</cp:lastPrinted>
  <dcterms:created xsi:type="dcterms:W3CDTF">2016-04-18T17:35:05Z</dcterms:created>
  <dcterms:modified xsi:type="dcterms:W3CDTF">2025-04-07T20:36:43Z</dcterms:modified>
</cp:coreProperties>
</file>