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irsci\Templates\ASI FINAL Templates\"/>
    </mc:Choice>
  </mc:AlternateContent>
  <xr:revisionPtr revIDLastSave="0" documentId="13_ncr:1_{6CCDEDBF-1198-47F8-9FE6-3EE3B867667C}" xr6:coauthVersionLast="47" xr6:coauthVersionMax="47" xr10:uidLastSave="{00000000-0000-0000-0000-000000000000}"/>
  <bookViews>
    <workbookView xWindow="-38510" yWindow="-110" windowWidth="38620" windowHeight="21100" activeTab="1" xr2:uid="{A15A913F-9A80-4162-83BD-50E682F47F30}"/>
  </bookViews>
  <sheets>
    <sheet name="Air Science Inc." sheetId="1" r:id="rId1"/>
    <sheet name="Baghouse Calculator" sheetId="2" r:id="rId2"/>
    <sheet name="BAPC Factors" sheetId="3" r:id="rId3"/>
  </sheets>
  <definedNames>
    <definedName name="_xlnm.Print_Area" localSheetId="0">'Air Science Inc.'!$A$1:$G$18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2" l="1"/>
  <c r="C33" i="2"/>
  <c r="C32" i="2"/>
  <c r="D14" i="3"/>
  <c r="D16" i="3"/>
  <c r="D15" i="3"/>
  <c r="D13" i="3"/>
  <c r="D12" i="3"/>
  <c r="D11" i="3"/>
  <c r="D10" i="3"/>
  <c r="D9" i="3"/>
  <c r="D8" i="3"/>
  <c r="D7" i="3"/>
  <c r="D6" i="3"/>
  <c r="D5" i="3"/>
  <c r="E16" i="3"/>
  <c r="E15" i="3"/>
  <c r="H15" i="3" s="1"/>
  <c r="E14" i="3"/>
  <c r="E13" i="3"/>
  <c r="E12" i="3"/>
  <c r="E11" i="3"/>
  <c r="E10" i="3"/>
  <c r="E9" i="3"/>
  <c r="F9" i="3" s="1"/>
  <c r="H9" i="3" s="1"/>
  <c r="E8" i="3"/>
  <c r="F8" i="3" s="1"/>
  <c r="H16" i="3"/>
  <c r="F10" i="3"/>
  <c r="H10" i="3" s="1"/>
  <c r="H14" i="3"/>
  <c r="E5" i="3"/>
  <c r="E6" i="3"/>
  <c r="F6" i="3"/>
  <c r="H6" i="3" s="1"/>
  <c r="E7" i="3"/>
  <c r="G45" i="3"/>
  <c r="F45" i="3"/>
  <c r="E45" i="3"/>
  <c r="D45" i="3"/>
  <c r="G44" i="3"/>
  <c r="F44" i="3"/>
  <c r="E44" i="3"/>
  <c r="D44" i="3"/>
  <c r="C44" i="3"/>
  <c r="E36" i="3"/>
  <c r="C36" i="3"/>
  <c r="E35" i="3"/>
  <c r="C35" i="3"/>
  <c r="E34" i="3"/>
  <c r="C34" i="3"/>
  <c r="E33" i="3"/>
  <c r="C33" i="3"/>
  <c r="A25" i="3"/>
  <c r="A24" i="3"/>
  <c r="A23" i="3"/>
  <c r="A22" i="3"/>
  <c r="H13" i="3"/>
  <c r="H12" i="3"/>
  <c r="H11" i="3"/>
  <c r="G9" i="3"/>
  <c r="G8" i="3"/>
  <c r="F7" i="3"/>
  <c r="H7" i="3" s="1"/>
  <c r="F5" i="3"/>
  <c r="H5" i="3" s="1"/>
  <c r="C7" i="2"/>
  <c r="H8" i="3" l="1"/>
  <c r="H17" i="3" s="1"/>
</calcChain>
</file>

<file path=xl/sharedStrings.xml><?xml version="1.0" encoding="utf-8"?>
<sst xmlns="http://schemas.openxmlformats.org/spreadsheetml/2006/main" count="92" uniqueCount="79">
  <si>
    <r>
      <t>Baghouse PM</t>
    </r>
    <r>
      <rPr>
        <b/>
        <vertAlign val="subscript"/>
        <sz val="18"/>
        <color theme="1"/>
        <rFont val="Book Antiqua"/>
        <family val="1"/>
      </rPr>
      <t>10</t>
    </r>
    <r>
      <rPr>
        <b/>
        <sz val="18"/>
        <color theme="1"/>
        <rFont val="Book Antiqua"/>
        <family val="1"/>
      </rPr>
      <t xml:space="preserve"> Testing Frequency Calculator</t>
    </r>
  </si>
  <si>
    <t>BAGHOUSE SPECIFICATIONS:</t>
  </si>
  <si>
    <t>Enter specifications into blue cells</t>
  </si>
  <si>
    <t>Baghouse operating schedule (hr/yr)</t>
  </si>
  <si>
    <t>CATEGORY 1: POTENTIAL TO EMIT</t>
  </si>
  <si>
    <r>
      <t>PM</t>
    </r>
    <r>
      <rPr>
        <vertAlign val="subscript"/>
        <sz val="10"/>
        <color theme="1"/>
        <rFont val="Book Antiqua"/>
        <family val="1"/>
      </rPr>
      <t>10</t>
    </r>
    <r>
      <rPr>
        <sz val="10"/>
        <color theme="1"/>
        <rFont val="Book Antiqua"/>
        <family val="1"/>
      </rPr>
      <t xml:space="preserve"> Controlled Potential-to-Emit (ton/yr) </t>
    </r>
  </si>
  <si>
    <t xml:space="preserve">  Calculated from grain loading factor and exhaust flow rate.</t>
  </si>
  <si>
    <t>Grain Loading Factor (gr/dscfm)</t>
  </si>
  <si>
    <t xml:space="preserve">  From Permit to Operate or Manufacturer's Information</t>
  </si>
  <si>
    <t>Baghouse Exhaust Flow Rate (dscfm)</t>
  </si>
  <si>
    <r>
      <t>Facility-Wide (µg/m</t>
    </r>
    <r>
      <rPr>
        <vertAlign val="superscript"/>
        <sz val="10"/>
        <color theme="1"/>
        <rFont val="Book Antiqua"/>
        <family val="1"/>
      </rPr>
      <t>3</t>
    </r>
    <r>
      <rPr>
        <sz val="10"/>
        <color theme="1"/>
        <rFont val="Book Antiqua"/>
        <family val="1"/>
      </rPr>
      <t>)</t>
    </r>
  </si>
  <si>
    <r>
      <t xml:space="preserve">  Enter the facility's modeled PM</t>
    </r>
    <r>
      <rPr>
        <i/>
        <vertAlign val="subscript"/>
        <sz val="10"/>
        <color theme="1"/>
        <rFont val="Book Antiqua"/>
        <family val="1"/>
      </rPr>
      <t>10</t>
    </r>
    <r>
      <rPr>
        <i/>
        <sz val="10"/>
        <color theme="1"/>
        <rFont val="Book Antiqua"/>
        <family val="1"/>
      </rPr>
      <t xml:space="preserve"> impact.</t>
    </r>
  </si>
  <si>
    <r>
      <t>Source Specific (µg/m</t>
    </r>
    <r>
      <rPr>
        <vertAlign val="superscript"/>
        <sz val="10"/>
        <color theme="1"/>
        <rFont val="Book Antiqua"/>
        <family val="1"/>
      </rPr>
      <t>3</t>
    </r>
    <r>
      <rPr>
        <sz val="10"/>
        <color theme="1"/>
        <rFont val="Book Antiqua"/>
        <family val="1"/>
      </rPr>
      <t>)</t>
    </r>
  </si>
  <si>
    <r>
      <t xml:space="preserve">  Optional - enter the baghouse's modeled PM</t>
    </r>
    <r>
      <rPr>
        <i/>
        <vertAlign val="subscript"/>
        <sz val="10"/>
        <color theme="1"/>
        <rFont val="Book Antiqua"/>
        <family val="1"/>
      </rPr>
      <t>10</t>
    </r>
    <r>
      <rPr>
        <i/>
        <sz val="10"/>
        <color theme="1"/>
        <rFont val="Book Antiqua"/>
        <family val="1"/>
      </rPr>
      <t xml:space="preserve"> impact.</t>
    </r>
  </si>
  <si>
    <t>CATEGORY 2: OPERATING PARAMETERS</t>
  </si>
  <si>
    <t>Material Throughput (ton/hr)</t>
  </si>
  <si>
    <t xml:space="preserve">  From Permit to Operate</t>
  </si>
  <si>
    <t>CATEGORY 3: COMPLIANCE HISTORY</t>
  </si>
  <si>
    <t>Enter the number of final Notice of Alleged Violations (NOAVs) issued to the facility for each of the following categories during the last 60 months. If a final NOAV includes multiple violations of the same type, the NOAV counts as one violation. If an NOAV includes violations in multiple categories, enter a one for each category included.</t>
  </si>
  <si>
    <t>Example 1: A final NOAV was issued for three failed opacity tests in a given system. Enter 1 under Failed Opacity.</t>
  </si>
  <si>
    <t>Example 2: A single NOAV was issued for a failed source test and a failed opacity of the system that includes the baghouse. Enter 1 under Failed Source Tests and also enter 1 under Failed Opacity Test.</t>
  </si>
  <si>
    <t>The TDS will be re-evaluated whenever a NOAV is issued, which may result in a new testing schedule.</t>
  </si>
  <si>
    <t xml:space="preserve">  Failed Source Tests</t>
  </si>
  <si>
    <t xml:space="preserve">  System Basis</t>
  </si>
  <si>
    <t xml:space="preserve">  Throughput Exceedances</t>
  </si>
  <si>
    <t xml:space="preserve">  Records</t>
  </si>
  <si>
    <t xml:space="preserve">  Facility-Wide Basis</t>
  </si>
  <si>
    <t>Failed Opacity</t>
  </si>
  <si>
    <t>Failure to Test</t>
  </si>
  <si>
    <t>Control Equipment Issues</t>
  </si>
  <si>
    <t>TESTING FREQUENCY RESULTS</t>
  </si>
  <si>
    <t>TDS Ranking</t>
  </si>
  <si>
    <t>Testing Frequency</t>
  </si>
  <si>
    <t>Notes</t>
  </si>
  <si>
    <t>All laboratory baghouses are exempt from testing requirements.</t>
  </si>
  <si>
    <t>All existing baghouses are exempt from initial testing requirements.</t>
  </si>
  <si>
    <t>TESTING FREQUENCY EXPLANATION</t>
  </si>
  <si>
    <t>Initial Testing</t>
  </si>
  <si>
    <t>Non-recurring initial performance test</t>
  </si>
  <si>
    <t>Anniversary Testing</t>
  </si>
  <si>
    <t>Performance testing conducted one (1) year after initial performance test or test failure (conditionally recurring).</t>
  </si>
  <si>
    <t>Renewal Testing</t>
  </si>
  <si>
    <t>Performance testing required no earlier than three hundred sixty-five (365) days and no later than ninety (90) days before date of permit expiration.</t>
  </si>
  <si>
    <t>Mid-Point Testing</t>
  </si>
  <si>
    <t>Performance test required no earlier than two (2) years and no later than three (3) years from initial test or renewal test.</t>
  </si>
  <si>
    <t>Annual Testing</t>
  </si>
  <si>
    <t>Recurring performance testing required at anniversary of previous test.</t>
  </si>
  <si>
    <t>Score Calculation</t>
  </si>
  <si>
    <t>Category</t>
  </si>
  <si>
    <t>Parameter</t>
  </si>
  <si>
    <t>Value</t>
  </si>
  <si>
    <t>Rank</t>
  </si>
  <si>
    <t>Weight</t>
  </si>
  <si>
    <t>Category %</t>
  </si>
  <si>
    <t>Weighted Cumulative Result ÷ 5</t>
  </si>
  <si>
    <t>Min</t>
  </si>
  <si>
    <t>Max</t>
  </si>
  <si>
    <t>Initial and Annual Testing</t>
  </si>
  <si>
    <t xml:space="preserve"> </t>
  </si>
  <si>
    <t>Initial, Mid-Point, and Renewal Testing</t>
  </si>
  <si>
    <t>Anniversary test required if a test fails.</t>
  </si>
  <si>
    <t>Initial and Renewal Testing</t>
  </si>
  <si>
    <t>Initial and Anniversary Testing</t>
  </si>
  <si>
    <t>If initial or anniversary test fails, then anniversary testing shall continue until three consecutive tests pass.</t>
  </si>
  <si>
    <t>Initial Only Testing</t>
  </si>
  <si>
    <t>Anniversary test required if initial test fails.</t>
  </si>
  <si>
    <t>Modeling Impacts</t>
  </si>
  <si>
    <t>Facilty - NvAAQS:</t>
  </si>
  <si>
    <t>Baghouse - SIL:</t>
  </si>
  <si>
    <t>% NvAAQS</t>
  </si>
  <si>
    <t>% SIL/NvAAQS</t>
  </si>
  <si>
    <t>Rank Divisions</t>
  </si>
  <si>
    <t>Rank:</t>
  </si>
  <si>
    <t>Controlled PTE (TPY)</t>
  </si>
  <si>
    <t>Grain Loading (gr/dscf)</t>
  </si>
  <si>
    <t>Exhaust Flow (dscfm)</t>
  </si>
  <si>
    <t>Modeled BAGHOUSE (µg/m3)</t>
  </si>
  <si>
    <t>Modeled FACILITY (µg/m3)</t>
  </si>
  <si>
    <t>Material Throughput (Factor for PTE)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</si>
</sst>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0.0%"/>
    <numFmt numFmtId="165" formatCode="0.000000%"/>
    <numFmt numFmtId="166" formatCode="\&gt;0%"/>
    <numFmt numFmtId="167" formatCode="\≤0%"/>
    <numFmt numFmtId="168" formatCode="0.0"/>
    <numFmt numFmtId="169" formatCode="&quot;≥&quot;General"/>
    <numFmt numFmtId="170" formatCode="&quot;≤&quot;General"/>
    <numFmt numFmtId="171" formatCode="#,##0.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Book Antiqua"/>
      <family val="1"/>
    </font>
    <font>
      <b/>
      <sz val="18"/>
      <color theme="1"/>
      <name val="Book Antiqua"/>
      <family val="1"/>
    </font>
    <font>
      <b/>
      <vertAlign val="subscript"/>
      <sz val="18"/>
      <color theme="1"/>
      <name val="Book Antiqua"/>
      <family val="1"/>
    </font>
    <font>
      <b/>
      <sz val="10"/>
      <color rgb="FFFF0000"/>
      <name val="Book Antiqua"/>
      <family val="1"/>
    </font>
    <font>
      <b/>
      <sz val="10"/>
      <name val="Book Antiqua"/>
      <family val="1"/>
    </font>
    <font>
      <sz val="10"/>
      <color rgb="FF0070C0"/>
      <name val="Book Antiqua"/>
      <family val="1"/>
    </font>
    <font>
      <vertAlign val="subscript"/>
      <sz val="10"/>
      <color theme="1"/>
      <name val="Book Antiqua"/>
      <family val="1"/>
    </font>
    <font>
      <sz val="10"/>
      <name val="Book Antiqua"/>
      <family val="1"/>
    </font>
    <font>
      <i/>
      <sz val="10"/>
      <color theme="1"/>
      <name val="Book Antiqua"/>
      <family val="1"/>
    </font>
    <font>
      <vertAlign val="superscript"/>
      <sz val="10"/>
      <color theme="1"/>
      <name val="Book Antiqua"/>
      <family val="1"/>
    </font>
    <font>
      <i/>
      <vertAlign val="subscript"/>
      <sz val="10"/>
      <color theme="1"/>
      <name val="Book Antiqua"/>
      <family val="1"/>
    </font>
    <font>
      <i/>
      <sz val="9"/>
      <color theme="1"/>
      <name val="Book Antiqua"/>
      <family val="1"/>
    </font>
    <font>
      <sz val="10"/>
      <color rgb="FF7030A0"/>
      <name val="Book Antiqua"/>
      <family val="1"/>
    </font>
    <font>
      <b/>
      <sz val="10"/>
      <color theme="1"/>
      <name val="Book Antiqua"/>
      <family val="1"/>
    </font>
    <font>
      <u/>
      <sz val="11"/>
      <color theme="10"/>
      <name val="Aptos Narrow"/>
      <family val="2"/>
      <scheme val="minor"/>
    </font>
    <font>
      <u/>
      <sz val="10"/>
      <color theme="1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E4DFEC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3" applyFont="1"/>
    <xf numFmtId="164" fontId="2" fillId="0" borderId="0" xfId="2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7" fillId="2" borderId="2" xfId="0" applyNumberFormat="1" applyFont="1" applyFill="1" applyBorder="1" applyAlignment="1" applyProtection="1">
      <alignment horizontal="center" vertical="center"/>
      <protection locked="0"/>
    </xf>
    <xf numFmtId="165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2" fontId="9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0" fontId="2" fillId="0" borderId="0" xfId="2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0" fontId="2" fillId="3" borderId="3" xfId="2" applyNumberFormat="1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7" xfId="0" applyFont="1" applyBorder="1" applyAlignment="1">
      <alignment vertical="top"/>
    </xf>
    <xf numFmtId="0" fontId="1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7" fillId="0" borderId="0" xfId="4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0" fillId="0" borderId="9" xfId="0" applyBorder="1"/>
    <xf numFmtId="0" fontId="2" fillId="0" borderId="9" xfId="0" applyFont="1" applyBorder="1" applyAlignment="1">
      <alignment horizontal="right" vertical="center"/>
    </xf>
    <xf numFmtId="0" fontId="0" fillId="0" borderId="9" xfId="0" applyBorder="1" applyAlignment="1">
      <alignment horizontal="center"/>
    </xf>
    <xf numFmtId="10" fontId="2" fillId="0" borderId="9" xfId="2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0" fontId="2" fillId="0" borderId="0" xfId="0" applyNumberFormat="1" applyFont="1" applyAlignment="1">
      <alignment vertical="center"/>
    </xf>
    <xf numFmtId="0" fontId="15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9" fontId="2" fillId="0" borderId="7" xfId="2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166" fontId="2" fillId="0" borderId="6" xfId="0" applyNumberFormat="1" applyFont="1" applyBorder="1" applyAlignment="1">
      <alignment horizontal="center" vertical="center"/>
    </xf>
    <xf numFmtId="167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66" fontId="2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166" fontId="2" fillId="0" borderId="7" xfId="0" applyNumberFormat="1" applyFont="1" applyBorder="1" applyAlignment="1">
      <alignment horizontal="center" vertical="center"/>
    </xf>
    <xf numFmtId="167" fontId="7" fillId="0" borderId="7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10" fontId="9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9" fontId="7" fillId="0" borderId="0" xfId="2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9" fontId="7" fillId="0" borderId="7" xfId="2" applyFont="1" applyBorder="1" applyAlignment="1">
      <alignment horizontal="center" vertical="center"/>
    </xf>
    <xf numFmtId="168" fontId="2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15" fillId="0" borderId="8" xfId="0" applyFont="1" applyBorder="1" applyAlignment="1">
      <alignment horizontal="right" vertical="center"/>
    </xf>
    <xf numFmtId="0" fontId="15" fillId="0" borderId="8" xfId="0" applyFont="1" applyBorder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170" fontId="7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69" fontId="9" fillId="0" borderId="0" xfId="0" applyNumberFormat="1" applyFont="1" applyAlignment="1">
      <alignment horizontal="center" vertical="center"/>
    </xf>
    <xf numFmtId="0" fontId="0" fillId="0" borderId="7" xfId="0" applyBorder="1"/>
    <xf numFmtId="169" fontId="7" fillId="0" borderId="7" xfId="0" applyNumberFormat="1" applyFont="1" applyBorder="1" applyAlignment="1">
      <alignment horizontal="center" vertical="center"/>
    </xf>
    <xf numFmtId="17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horizontal="left" vertical="top" wrapText="1"/>
    </xf>
  </cellXfs>
  <cellStyles count="5">
    <cellStyle name="Comma" xfId="1" builtinId="3"/>
    <cellStyle name="Hyperlink" xfId="4" builtinId="8"/>
    <cellStyle name="Normal" xfId="0" builtinId="0"/>
    <cellStyle name="Normal 2" xfId="3" xr:uid="{0F28CF73-4EEB-4C01-9279-10E6095A40D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0</xdr:row>
          <xdr:rowOff>0</xdr:rowOff>
        </xdr:from>
        <xdr:to>
          <xdr:col>19</xdr:col>
          <xdr:colOff>152400</xdr:colOff>
          <xdr:row>45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112058</xdr:colOff>
      <xdr:row>0</xdr:row>
      <xdr:rowOff>22412</xdr:rowOff>
    </xdr:from>
    <xdr:to>
      <xdr:col>1</xdr:col>
      <xdr:colOff>1015999</xdr:colOff>
      <xdr:row>1</xdr:row>
      <xdr:rowOff>60606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35AEB6-7D33-5BAF-59D6-6E9AE8F25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58" y="22412"/>
          <a:ext cx="1800412" cy="1158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37254-E9C6-4A33-AC4C-D477846D6952}">
  <dimension ref="H29"/>
  <sheetViews>
    <sheetView view="pageBreakPreview" zoomScaleNormal="100" zoomScaleSheetLayoutView="100" workbookViewId="0">
      <selection activeCell="V53" sqref="V53"/>
    </sheetView>
  </sheetViews>
  <sheetFormatPr defaultRowHeight="14.5" x14ac:dyDescent="0.35"/>
  <sheetData>
    <row r="29" spans="8:8" x14ac:dyDescent="0.35">
      <c r="H29" s="1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autoPict="0" r:id="rId5">
            <anchor moveWithCells="1">
              <from>
                <xdr:col>0</xdr:col>
                <xdr:colOff>12700</xdr:colOff>
                <xdr:row>0</xdr:row>
                <xdr:rowOff>0</xdr:rowOff>
              </from>
              <to>
                <xdr:col>19</xdr:col>
                <xdr:colOff>152400</xdr:colOff>
                <xdr:row>45</xdr:row>
                <xdr:rowOff>0</xdr:rowOff>
              </to>
            </anchor>
          </objectPr>
        </oleObject>
      </mc:Choice>
      <mc:Fallback>
        <oleObject progId="Word.Document.12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AE73-F214-4BBC-91B3-7988F9B9A26C}">
  <dimension ref="A1:AB46"/>
  <sheetViews>
    <sheetView showGridLines="0" tabSelected="1" zoomScale="85" zoomScaleNormal="85" workbookViewId="0">
      <selection activeCell="F4" sqref="F4"/>
    </sheetView>
  </sheetViews>
  <sheetFormatPr defaultColWidth="8.6328125" defaultRowHeight="14.5" x14ac:dyDescent="0.35"/>
  <cols>
    <col min="1" max="1" width="12.81640625" style="1" customWidth="1"/>
    <col min="2" max="2" width="21.453125" style="1" customWidth="1"/>
    <col min="3" max="6" width="9.453125" style="1" customWidth="1"/>
    <col min="7" max="7" width="6.453125" style="1" customWidth="1"/>
    <col min="8" max="8" width="13.81640625" style="1" customWidth="1"/>
    <col min="9" max="9" width="9.453125" style="1" customWidth="1"/>
    <col min="10" max="10" width="8.453125" customWidth="1"/>
    <col min="11" max="27" width="9.08984375" customWidth="1"/>
    <col min="28" max="16384" width="8.6328125" style="1"/>
  </cols>
  <sheetData>
    <row r="1" spans="1:28" s="2" customFormat="1" ht="88.5" customHeight="1" x14ac:dyDescent="0.3">
      <c r="C1" s="3" t="s">
        <v>0</v>
      </c>
      <c r="D1" s="3"/>
      <c r="E1" s="3"/>
      <c r="F1" s="3"/>
      <c r="G1" s="3"/>
      <c r="H1" s="3"/>
      <c r="I1" s="3"/>
      <c r="J1" s="3"/>
    </row>
    <row r="2" spans="1:28" s="2" customFormat="1" ht="23" x14ac:dyDescent="0.3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3"/>
    </row>
    <row r="3" spans="1:28" ht="13" x14ac:dyDescent="0.3">
      <c r="A3" s="5" t="s">
        <v>2</v>
      </c>
      <c r="J3" s="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3" x14ac:dyDescent="0.35">
      <c r="A4" s="80" t="s">
        <v>3</v>
      </c>
      <c r="B4" s="81"/>
      <c r="C4" s="8">
        <v>8760</v>
      </c>
      <c r="J4" s="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9"/>
    </row>
    <row r="5" spans="1:28" ht="13" x14ac:dyDescent="0.35">
      <c r="B5" s="10"/>
      <c r="C5" s="10"/>
      <c r="D5" s="10"/>
      <c r="E5" s="10"/>
      <c r="F5" s="10"/>
      <c r="G5" s="10"/>
      <c r="H5" s="10"/>
      <c r="J5" s="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8" ht="13" x14ac:dyDescent="0.35">
      <c r="A6" s="79" t="s">
        <v>4</v>
      </c>
      <c r="B6" s="79"/>
      <c r="C6" s="79"/>
      <c r="D6" s="79"/>
      <c r="E6" s="79"/>
      <c r="F6" s="79"/>
      <c r="G6" s="79"/>
      <c r="H6" s="79"/>
      <c r="I6" s="79"/>
      <c r="J6" s="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8" ht="16" x14ac:dyDescent="0.35">
      <c r="A7" s="82" t="s">
        <v>5</v>
      </c>
      <c r="B7" s="83"/>
      <c r="C7" s="12">
        <f>C8*C9*60*C4/7000/2000</f>
        <v>2.8908</v>
      </c>
      <c r="D7" s="13" t="s">
        <v>6</v>
      </c>
      <c r="G7" s="10"/>
      <c r="H7" s="10"/>
      <c r="J7" s="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13.5" x14ac:dyDescent="0.35">
      <c r="A8" s="82" t="s">
        <v>7</v>
      </c>
      <c r="B8" s="83"/>
      <c r="C8" s="14">
        <v>2.1999999999999999E-2</v>
      </c>
      <c r="D8" s="13" t="s">
        <v>8</v>
      </c>
      <c r="G8" s="10"/>
      <c r="H8" s="1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8" ht="13.5" x14ac:dyDescent="0.35">
      <c r="A9" s="82" t="s">
        <v>9</v>
      </c>
      <c r="B9" s="83"/>
      <c r="C9" s="8">
        <v>3500</v>
      </c>
      <c r="D9" s="13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8" ht="15.5" x14ac:dyDescent="0.35">
      <c r="A10" s="82" t="s">
        <v>10</v>
      </c>
      <c r="B10" s="83"/>
      <c r="C10" s="8">
        <v>35</v>
      </c>
      <c r="D10" s="15" t="s">
        <v>11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8" ht="15.5" x14ac:dyDescent="0.35">
      <c r="A11" s="82" t="s">
        <v>12</v>
      </c>
      <c r="B11" s="83"/>
      <c r="C11" s="8">
        <v>2</v>
      </c>
      <c r="D11" s="15" t="s">
        <v>13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8" ht="13" x14ac:dyDescent="0.35"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8" ht="13" x14ac:dyDescent="0.35">
      <c r="A13" s="79" t="s">
        <v>14</v>
      </c>
      <c r="B13" s="79"/>
      <c r="C13" s="79"/>
      <c r="D13" s="79"/>
      <c r="E13" s="79"/>
      <c r="F13" s="79"/>
      <c r="G13" s="79"/>
      <c r="H13" s="79"/>
      <c r="I13" s="7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8" ht="13" x14ac:dyDescent="0.35">
      <c r="B14" s="11" t="s">
        <v>15</v>
      </c>
      <c r="C14" s="8">
        <v>17</v>
      </c>
      <c r="D14" s="16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8" ht="13" x14ac:dyDescent="0.35"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8" ht="13" x14ac:dyDescent="0.35">
      <c r="A16" s="79" t="s">
        <v>17</v>
      </c>
      <c r="B16" s="79"/>
      <c r="C16" s="79"/>
      <c r="D16" s="79"/>
      <c r="E16" s="79"/>
      <c r="F16" s="79"/>
      <c r="G16" s="79"/>
      <c r="H16" s="79"/>
      <c r="I16" s="7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3" x14ac:dyDescent="0.35">
      <c r="A17" s="84" t="s">
        <v>18</v>
      </c>
      <c r="B17" s="84"/>
      <c r="C17" s="84"/>
      <c r="D17" s="84"/>
      <c r="E17" s="84"/>
      <c r="F17" s="84"/>
      <c r="G17" s="84"/>
      <c r="H17" s="84"/>
      <c r="I17" s="8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3" x14ac:dyDescent="0.35">
      <c r="A18" s="78"/>
      <c r="B18" s="78"/>
      <c r="C18" s="78"/>
      <c r="D18" s="78"/>
      <c r="E18" s="78"/>
      <c r="F18" s="78"/>
      <c r="G18" s="78"/>
      <c r="H18" s="78"/>
      <c r="I18" s="7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s="7" customFormat="1" ht="13.5" x14ac:dyDescent="0.35">
      <c r="A19" s="87" t="s">
        <v>19</v>
      </c>
      <c r="B19" s="87"/>
      <c r="C19" s="87"/>
      <c r="D19" s="87"/>
      <c r="E19" s="87"/>
      <c r="F19" s="87"/>
      <c r="G19" s="87"/>
      <c r="H19" s="87"/>
      <c r="I19" s="87"/>
    </row>
    <row r="20" spans="1:27" s="7" customFormat="1" ht="13.5" x14ac:dyDescent="0.35">
      <c r="A20" s="88" t="s">
        <v>20</v>
      </c>
      <c r="B20" s="88"/>
      <c r="C20" s="88"/>
      <c r="D20" s="88"/>
      <c r="E20" s="88"/>
      <c r="F20" s="88"/>
      <c r="G20" s="88"/>
      <c r="H20" s="88"/>
      <c r="I20" s="88"/>
    </row>
    <row r="21" spans="1:27" ht="13" x14ac:dyDescent="0.35">
      <c r="A21" s="78" t="s">
        <v>21</v>
      </c>
      <c r="B21" s="78"/>
      <c r="C21" s="78"/>
      <c r="D21" s="78"/>
      <c r="E21" s="78"/>
      <c r="F21" s="78"/>
      <c r="G21" s="78"/>
      <c r="H21" s="78"/>
      <c r="I21" s="7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3" x14ac:dyDescent="0.35">
      <c r="I22" s="1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3.5" x14ac:dyDescent="0.35">
      <c r="B23" s="11" t="s">
        <v>22</v>
      </c>
      <c r="C23" s="8">
        <v>1</v>
      </c>
      <c r="D23" s="15" t="s">
        <v>23</v>
      </c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3.5" x14ac:dyDescent="0.35">
      <c r="B24" s="11" t="s">
        <v>24</v>
      </c>
      <c r="C24" s="8">
        <v>1</v>
      </c>
      <c r="D24" s="15" t="s">
        <v>23</v>
      </c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3.5" x14ac:dyDescent="0.35">
      <c r="B25" s="11" t="s">
        <v>25</v>
      </c>
      <c r="C25" s="8">
        <v>1</v>
      </c>
      <c r="D25" s="15" t="s">
        <v>26</v>
      </c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3.5" x14ac:dyDescent="0.35">
      <c r="B26" s="11" t="s">
        <v>27</v>
      </c>
      <c r="C26" s="8">
        <v>1</v>
      </c>
      <c r="D26" s="15" t="s">
        <v>23</v>
      </c>
      <c r="I26" s="1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3.5" x14ac:dyDescent="0.35">
      <c r="B27" s="11" t="s">
        <v>28</v>
      </c>
      <c r="C27" s="8">
        <v>1</v>
      </c>
      <c r="D27" s="15" t="s">
        <v>23</v>
      </c>
      <c r="I27" s="1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3.5" x14ac:dyDescent="0.35">
      <c r="B28" s="11" t="s">
        <v>29</v>
      </c>
      <c r="C28" s="8">
        <v>1</v>
      </c>
      <c r="D28" s="15" t="s">
        <v>26</v>
      </c>
      <c r="I28" s="1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3" x14ac:dyDescent="0.35">
      <c r="I29" s="18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3" x14ac:dyDescent="0.35">
      <c r="A30" s="4" t="s">
        <v>30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3" x14ac:dyDescent="0.35">
      <c r="B31" s="11" t="s">
        <v>31</v>
      </c>
      <c r="C31" s="19">
        <f>'BAPC Factors'!H17</f>
        <v>0.22500000000000001</v>
      </c>
      <c r="D31" s="20"/>
      <c r="E31" s="20"/>
      <c r="F31" s="20"/>
      <c r="G31" s="21"/>
      <c r="H31" s="18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3" x14ac:dyDescent="0.35">
      <c r="B32" s="11" t="s">
        <v>32</v>
      </c>
      <c r="C32" s="22" t="str">
        <f>HLOOKUP(B32,'BAPC Factors'!$B$21:$E$26,MATCH($C$31,'BAPC Factors'!$B$21:$B$26,-1),0)</f>
        <v>Initial and Anniversary Testing</v>
      </c>
      <c r="D32" s="20"/>
      <c r="E32" s="20"/>
      <c r="F32" s="20"/>
      <c r="G32" s="21"/>
      <c r="H32" s="1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3" x14ac:dyDescent="0.35">
      <c r="B33" s="11" t="s">
        <v>33</v>
      </c>
      <c r="C33" s="89" t="str">
        <f>HLOOKUP(B33,'BAPC Factors'!$B$21:$E$26,MATCH($C$31,'BAPC Factors'!$B$21:$B$26,-1),0)</f>
        <v>If initial or anniversary test fails, then anniversary testing shall continue until three consecutive tests pass.</v>
      </c>
      <c r="D33" s="90"/>
      <c r="E33" s="90"/>
      <c r="F33" s="90"/>
      <c r="G33" s="91"/>
      <c r="H33" s="1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3" x14ac:dyDescent="0.35">
      <c r="C34" s="7" t="s">
        <v>34</v>
      </c>
      <c r="H34" s="1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3" x14ac:dyDescent="0.35">
      <c r="C35" s="7" t="s">
        <v>35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" x14ac:dyDescent="0.35"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24" customFormat="1" ht="13" x14ac:dyDescent="0.35">
      <c r="A37" s="92" t="s">
        <v>36</v>
      </c>
      <c r="B37" s="92"/>
      <c r="C37" s="92"/>
      <c r="D37" s="92"/>
      <c r="E37" s="92"/>
      <c r="F37" s="92"/>
      <c r="G37" s="92"/>
      <c r="H37" s="92"/>
      <c r="I37" s="92"/>
    </row>
    <row r="38" spans="1:27" s="24" customFormat="1" ht="13.5" thickBot="1" x14ac:dyDescent="0.4">
      <c r="A38" s="23"/>
      <c r="B38" s="23"/>
      <c r="C38" s="23"/>
      <c r="D38" s="23"/>
      <c r="E38" s="23"/>
      <c r="F38" s="23"/>
      <c r="G38" s="23"/>
      <c r="H38" s="23"/>
      <c r="I38" s="23"/>
    </row>
    <row r="39" spans="1:27" ht="24" customHeight="1" thickTop="1" x14ac:dyDescent="0.35">
      <c r="A39" s="25" t="s">
        <v>37</v>
      </c>
      <c r="B39" s="25"/>
      <c r="C39" s="93" t="s">
        <v>38</v>
      </c>
      <c r="D39" s="93"/>
      <c r="E39" s="93"/>
      <c r="F39" s="93"/>
      <c r="G39" s="93"/>
      <c r="H39" s="93"/>
      <c r="I39" s="9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28.5" customHeight="1" x14ac:dyDescent="0.35">
      <c r="A40" s="26" t="s">
        <v>39</v>
      </c>
      <c r="B40" s="26"/>
      <c r="C40" s="85" t="s">
        <v>40</v>
      </c>
      <c r="D40" s="85"/>
      <c r="E40" s="85"/>
      <c r="F40" s="85"/>
      <c r="G40" s="85"/>
      <c r="H40" s="85"/>
      <c r="I40" s="8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28.5" customHeight="1" x14ac:dyDescent="0.35">
      <c r="A41" s="26" t="s">
        <v>41</v>
      </c>
      <c r="B41" s="26"/>
      <c r="C41" s="85" t="s">
        <v>42</v>
      </c>
      <c r="D41" s="85"/>
      <c r="E41" s="85"/>
      <c r="F41" s="85"/>
      <c r="G41" s="85"/>
      <c r="H41" s="85"/>
      <c r="I41" s="8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28.5" customHeight="1" x14ac:dyDescent="0.35">
      <c r="A42" s="26" t="s">
        <v>43</v>
      </c>
      <c r="B42" s="26"/>
      <c r="C42" s="85" t="s">
        <v>44</v>
      </c>
      <c r="D42" s="85"/>
      <c r="E42" s="85"/>
      <c r="F42" s="85"/>
      <c r="G42" s="85"/>
      <c r="H42" s="85"/>
      <c r="I42" s="8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" thickBot="1" x14ac:dyDescent="0.4">
      <c r="A43" s="27" t="s">
        <v>45</v>
      </c>
      <c r="B43" s="27"/>
      <c r="C43" s="86" t="s">
        <v>46</v>
      </c>
      <c r="D43" s="86"/>
      <c r="E43" s="86"/>
      <c r="F43" s="86"/>
      <c r="G43" s="86"/>
      <c r="H43" s="86"/>
      <c r="I43" s="8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3.5" thickTop="1" x14ac:dyDescent="0.35">
      <c r="B44" s="28"/>
      <c r="C44" s="28"/>
      <c r="H44" s="18"/>
      <c r="I44" s="18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3" x14ac:dyDescent="0.35">
      <c r="A45" s="2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3" x14ac:dyDescent="0.35">
      <c r="A46" s="3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</sheetData>
  <mergeCells count="22">
    <mergeCell ref="C40:I40"/>
    <mergeCell ref="C41:I41"/>
    <mergeCell ref="C42:I42"/>
    <mergeCell ref="C43:I43"/>
    <mergeCell ref="A19:I19"/>
    <mergeCell ref="A20:I20"/>
    <mergeCell ref="A21:I21"/>
    <mergeCell ref="C33:G33"/>
    <mergeCell ref="A37:I37"/>
    <mergeCell ref="C39:I39"/>
    <mergeCell ref="A18:I18"/>
    <mergeCell ref="A2:I2"/>
    <mergeCell ref="A4:B4"/>
    <mergeCell ref="A6:I6"/>
    <mergeCell ref="A7:B7"/>
    <mergeCell ref="A8:B8"/>
    <mergeCell ref="A9:B9"/>
    <mergeCell ref="A10:B10"/>
    <mergeCell ref="A11:B11"/>
    <mergeCell ref="A13:I13"/>
    <mergeCell ref="A16:I16"/>
    <mergeCell ref="A17:I17"/>
  </mergeCells>
  <pageMargins left="0.7" right="0.7" top="0.75" bottom="0.75" header="0.3" footer="0.3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7D43-F97E-4948-8DEB-465B6712D93E}">
  <dimension ref="A3:R63"/>
  <sheetViews>
    <sheetView workbookViewId="0">
      <selection activeCell="I14" sqref="I14"/>
    </sheetView>
  </sheetViews>
  <sheetFormatPr defaultColWidth="8.81640625" defaultRowHeight="14.5" x14ac:dyDescent="0.35"/>
  <cols>
    <col min="1" max="1" width="11.453125" style="1" customWidth="1"/>
    <col min="2" max="2" width="20.453125" style="1" customWidth="1"/>
    <col min="3" max="3" width="10" style="1" customWidth="1"/>
    <col min="4" max="4" width="13.453125" style="1" customWidth="1"/>
    <col min="5" max="5" width="10" style="1" customWidth="1"/>
    <col min="6" max="6" width="8" style="1" customWidth="1"/>
    <col min="7" max="7" width="10.453125" style="1" customWidth="1"/>
    <col min="8" max="8" width="8.81640625" style="1" bestFit="1"/>
    <col min="9" max="9" width="35.08984375" style="1" bestFit="1" customWidth="1"/>
    <col min="10" max="10" width="11.08984375" style="1" bestFit="1" customWidth="1"/>
    <col min="11" max="14" width="11.453125" style="1" bestFit="1" customWidth="1"/>
    <col min="15" max="18" width="8.81640625" style="1" bestFit="1"/>
  </cols>
  <sheetData>
    <row r="3" spans="1:18" ht="15" thickBot="1" x14ac:dyDescent="0.4">
      <c r="A3" s="24" t="s">
        <v>47</v>
      </c>
    </row>
    <row r="4" spans="1:18" ht="15.5" thickTop="1" thickBot="1" x14ac:dyDescent="0.4">
      <c r="A4" s="31" t="s">
        <v>48</v>
      </c>
      <c r="B4" s="32"/>
      <c r="C4" s="32"/>
      <c r="D4" s="33" t="s">
        <v>49</v>
      </c>
      <c r="E4" s="31" t="s">
        <v>50</v>
      </c>
      <c r="F4" s="31" t="s">
        <v>51</v>
      </c>
      <c r="G4" s="31" t="s">
        <v>52</v>
      </c>
      <c r="H4" s="34" t="s">
        <v>53</v>
      </c>
    </row>
    <row r="5" spans="1:18" ht="15" thickTop="1" x14ac:dyDescent="0.35">
      <c r="A5" s="10">
        <v>1</v>
      </c>
      <c r="D5" s="11" t="str">
        <f>'Baghouse Calculator'!A7</f>
        <v xml:space="preserve">PM10 Controlled Potential-to-Emit (ton/yr) </v>
      </c>
      <c r="E5" s="77">
        <f>'Baghouse Calculator'!C7</f>
        <v>2.8908</v>
      </c>
      <c r="F5" s="10">
        <f>MATCH(E5,$C$41:$G$41,1)</f>
        <v>2</v>
      </c>
      <c r="G5" s="35">
        <v>0.125</v>
      </c>
      <c r="H5" s="36">
        <f>F5*G5</f>
        <v>0.25</v>
      </c>
      <c r="J5"/>
      <c r="K5"/>
      <c r="L5"/>
      <c r="M5"/>
      <c r="N5"/>
      <c r="O5"/>
      <c r="P5"/>
      <c r="Q5"/>
      <c r="R5"/>
    </row>
    <row r="6" spans="1:18" x14ac:dyDescent="0.35">
      <c r="A6" s="10">
        <v>1</v>
      </c>
      <c r="B6" s="10"/>
      <c r="C6" s="10"/>
      <c r="D6" s="11" t="str">
        <f>'Baghouse Calculator'!A8</f>
        <v>Grain Loading Factor (gr/dscfm)</v>
      </c>
      <c r="E6" s="77">
        <f>'Baghouse Calculator'!C8</f>
        <v>2.1999999999999999E-2</v>
      </c>
      <c r="F6" s="10">
        <f>MATCH(E6,$C$42:$G$42,-1)</f>
        <v>1</v>
      </c>
      <c r="G6" s="35">
        <v>0.1</v>
      </c>
      <c r="H6" s="36">
        <f t="shared" ref="H6:H10" si="0">F6*G6</f>
        <v>0.1</v>
      </c>
      <c r="I6" s="10"/>
      <c r="J6"/>
      <c r="K6"/>
      <c r="L6"/>
      <c r="M6"/>
      <c r="N6"/>
      <c r="O6"/>
      <c r="P6"/>
      <c r="Q6"/>
      <c r="R6"/>
    </row>
    <row r="7" spans="1:18" x14ac:dyDescent="0.35">
      <c r="A7" s="10">
        <v>1</v>
      </c>
      <c r="B7" s="10"/>
      <c r="C7" s="10"/>
      <c r="D7" s="11" t="str">
        <f>'Baghouse Calculator'!A9</f>
        <v>Baghouse Exhaust Flow Rate (dscfm)</v>
      </c>
      <c r="E7" s="37">
        <f>'Baghouse Calculator'!C9</f>
        <v>3500</v>
      </c>
      <c r="F7" s="10">
        <f>MATCH(E7,$C$43:$G$43,1)</f>
        <v>1</v>
      </c>
      <c r="G7" s="35">
        <v>0.1</v>
      </c>
      <c r="H7" s="36">
        <f t="shared" si="0"/>
        <v>0.1</v>
      </c>
      <c r="I7" s="10"/>
      <c r="J7"/>
      <c r="K7"/>
      <c r="L7"/>
      <c r="M7"/>
      <c r="N7"/>
      <c r="O7"/>
      <c r="P7"/>
      <c r="Q7"/>
      <c r="R7"/>
    </row>
    <row r="8" spans="1:18" x14ac:dyDescent="0.35">
      <c r="A8" s="10">
        <v>1</v>
      </c>
      <c r="D8" s="11" t="str">
        <f>'Baghouse Calculator'!A10</f>
        <v>Facility-Wide (µg/m3)</v>
      </c>
      <c r="E8" s="37">
        <f>'Baghouse Calculator'!C10</f>
        <v>35</v>
      </c>
      <c r="F8" s="10">
        <f>MATCH(E8,$C$45:$G$45,1)</f>
        <v>1</v>
      </c>
      <c r="G8" s="35">
        <f>17.5*0.4/100</f>
        <v>7.0000000000000007E-2</v>
      </c>
      <c r="H8" s="36">
        <f>IF(E$9&gt;0,F$8*G$8,F8*(G8+G9))</f>
        <v>7.0000000000000007E-2</v>
      </c>
      <c r="J8"/>
      <c r="K8"/>
      <c r="L8"/>
      <c r="M8"/>
      <c r="N8"/>
      <c r="O8"/>
      <c r="P8"/>
      <c r="Q8"/>
      <c r="R8"/>
    </row>
    <row r="9" spans="1:18" x14ac:dyDescent="0.35">
      <c r="A9" s="10">
        <v>1</v>
      </c>
      <c r="B9" s="10"/>
      <c r="C9" s="10"/>
      <c r="D9" s="11" t="str">
        <f>'Baghouse Calculator'!A11</f>
        <v>Source Specific (µg/m3)</v>
      </c>
      <c r="E9" s="37">
        <f>'Baghouse Calculator'!C11</f>
        <v>2</v>
      </c>
      <c r="F9" s="10">
        <f>MATCH(E9,$C$44:$G$44,1)</f>
        <v>1</v>
      </c>
      <c r="G9" s="35">
        <f>17.5*0.6/100</f>
        <v>0.105</v>
      </c>
      <c r="H9" s="36">
        <f>IF(E$9&gt;0,F$9*G$9,0)</f>
        <v>0.105</v>
      </c>
      <c r="I9" s="10"/>
      <c r="J9"/>
      <c r="K9"/>
      <c r="L9"/>
      <c r="M9"/>
      <c r="N9"/>
      <c r="O9"/>
      <c r="P9"/>
      <c r="Q9"/>
      <c r="R9"/>
    </row>
    <row r="10" spans="1:18" x14ac:dyDescent="0.35">
      <c r="A10" s="10">
        <v>2</v>
      </c>
      <c r="B10" s="10"/>
      <c r="C10" s="10"/>
      <c r="D10" s="11" t="str">
        <f>'Baghouse Calculator'!B14</f>
        <v>Material Throughput (ton/hr)</v>
      </c>
      <c r="E10" s="37">
        <f>'Baghouse Calculator'!C14</f>
        <v>17</v>
      </c>
      <c r="F10" s="10">
        <f>MATCH(E10,$C$46:$G$46,1)</f>
        <v>1</v>
      </c>
      <c r="G10" s="35">
        <v>8.4000000000000005E-2</v>
      </c>
      <c r="H10" s="36">
        <f t="shared" si="0"/>
        <v>8.4000000000000005E-2</v>
      </c>
      <c r="I10" s="10"/>
      <c r="J10"/>
      <c r="K10"/>
      <c r="L10"/>
      <c r="M10"/>
      <c r="N10"/>
      <c r="O10"/>
      <c r="P10"/>
      <c r="Q10"/>
      <c r="R10"/>
    </row>
    <row r="11" spans="1:18" x14ac:dyDescent="0.35">
      <c r="A11" s="10">
        <v>3</v>
      </c>
      <c r="B11" s="10"/>
      <c r="C11" s="10"/>
      <c r="D11" s="11" t="str">
        <f>'Baghouse Calculator'!B23</f>
        <v xml:space="preserve">  Failed Source Tests</v>
      </c>
      <c r="E11" s="37">
        <f>'Baghouse Calculator'!C23</f>
        <v>1</v>
      </c>
      <c r="F11" s="10"/>
      <c r="G11" s="35">
        <v>0.10150000000000001</v>
      </c>
      <c r="H11" s="36">
        <f>E11*G11</f>
        <v>0.10150000000000001</v>
      </c>
      <c r="I11" s="10"/>
      <c r="J11"/>
      <c r="K11"/>
      <c r="L11"/>
      <c r="M11"/>
      <c r="N11"/>
      <c r="O11"/>
      <c r="P11"/>
      <c r="Q11"/>
      <c r="R11"/>
    </row>
    <row r="12" spans="1:18" x14ac:dyDescent="0.35">
      <c r="A12" s="10">
        <v>3</v>
      </c>
      <c r="B12" s="10"/>
      <c r="C12" s="10"/>
      <c r="D12" s="11" t="str">
        <f>'Baghouse Calculator'!B24</f>
        <v xml:space="preserve">  Throughput Exceedances</v>
      </c>
      <c r="E12" s="37">
        <f>'Baghouse Calculator'!C24</f>
        <v>1</v>
      </c>
      <c r="F12" s="10"/>
      <c r="G12" s="35">
        <v>6.7000000000000004E-2</v>
      </c>
      <c r="H12" s="36">
        <f t="shared" ref="H12:H16" si="1">E12*G12</f>
        <v>6.7000000000000004E-2</v>
      </c>
      <c r="I12" s="10"/>
      <c r="J12"/>
      <c r="K12"/>
      <c r="L12"/>
      <c r="M12"/>
      <c r="N12"/>
      <c r="O12"/>
      <c r="P12"/>
      <c r="Q12"/>
      <c r="R12"/>
    </row>
    <row r="13" spans="1:18" x14ac:dyDescent="0.35">
      <c r="A13" s="10">
        <v>3</v>
      </c>
      <c r="B13" s="10"/>
      <c r="C13" s="10"/>
      <c r="D13" s="11" t="str">
        <f>'Baghouse Calculator'!B25</f>
        <v xml:space="preserve">  Records</v>
      </c>
      <c r="E13" s="37">
        <f>'Baghouse Calculator'!C25</f>
        <v>1</v>
      </c>
      <c r="F13" s="10"/>
      <c r="G13" s="35">
        <v>3.3000000000000002E-2</v>
      </c>
      <c r="H13" s="36">
        <f t="shared" si="1"/>
        <v>3.3000000000000002E-2</v>
      </c>
      <c r="I13" s="10"/>
      <c r="J13"/>
      <c r="K13"/>
      <c r="L13"/>
      <c r="M13"/>
      <c r="N13"/>
      <c r="O13"/>
      <c r="P13"/>
      <c r="Q13"/>
      <c r="R13"/>
    </row>
    <row r="14" spans="1:18" x14ac:dyDescent="0.35">
      <c r="A14" s="10">
        <v>3</v>
      </c>
      <c r="B14" s="10"/>
      <c r="C14" s="10"/>
      <c r="D14" s="11" t="str">
        <f>'Baghouse Calculator'!B26</f>
        <v>Failed Opacity</v>
      </c>
      <c r="E14" s="37">
        <f>'Baghouse Calculator'!C26</f>
        <v>1</v>
      </c>
      <c r="F14" s="10"/>
      <c r="G14" s="35">
        <v>3.3000000000000002E-2</v>
      </c>
      <c r="H14" s="36">
        <f t="shared" si="1"/>
        <v>3.3000000000000002E-2</v>
      </c>
      <c r="I14" s="10"/>
      <c r="J14"/>
      <c r="K14"/>
      <c r="L14"/>
      <c r="M14"/>
      <c r="N14"/>
      <c r="O14"/>
      <c r="P14"/>
      <c r="Q14"/>
      <c r="R14"/>
    </row>
    <row r="15" spans="1:18" x14ac:dyDescent="0.35">
      <c r="A15" s="10">
        <v>3</v>
      </c>
      <c r="B15"/>
      <c r="C15"/>
      <c r="D15" s="11" t="str">
        <f>'Baghouse Calculator'!B27</f>
        <v>Failure to Test</v>
      </c>
      <c r="E15" s="37">
        <f>'Baghouse Calculator'!C27</f>
        <v>1</v>
      </c>
      <c r="F15" s="10"/>
      <c r="G15" s="35">
        <v>0.10150000000000001</v>
      </c>
      <c r="H15" s="36">
        <f t="shared" si="1"/>
        <v>0.10150000000000001</v>
      </c>
    </row>
    <row r="16" spans="1:18" x14ac:dyDescent="0.35">
      <c r="A16" s="10">
        <v>3</v>
      </c>
      <c r="B16"/>
      <c r="C16"/>
      <c r="D16" s="11" t="str">
        <f>'Baghouse Calculator'!B28</f>
        <v>Control Equipment Issues</v>
      </c>
      <c r="E16" s="37">
        <f>'Baghouse Calculator'!C28</f>
        <v>1</v>
      </c>
      <c r="F16" s="10"/>
      <c r="G16" s="35">
        <v>0.08</v>
      </c>
      <c r="H16" s="36">
        <f t="shared" si="1"/>
        <v>0.08</v>
      </c>
    </row>
    <row r="17" spans="1:18" ht="15" thickBot="1" x14ac:dyDescent="0.4">
      <c r="A17" s="38"/>
      <c r="B17" s="39"/>
      <c r="C17" s="39"/>
      <c r="D17" s="40" t="s">
        <v>54</v>
      </c>
      <c r="E17" s="41"/>
      <c r="F17" s="39"/>
      <c r="G17" s="39"/>
      <c r="H17" s="42">
        <f>SUM(H5:H16)/5</f>
        <v>0.22500000000000001</v>
      </c>
    </row>
    <row r="18" spans="1:18" ht="15" thickTop="1" x14ac:dyDescent="0.35">
      <c r="B18"/>
      <c r="C18" s="11"/>
      <c r="D18" s="43"/>
      <c r="E18"/>
      <c r="F18"/>
      <c r="G18"/>
      <c r="H18"/>
      <c r="Q18" s="44"/>
    </row>
    <row r="19" spans="1:18" x14ac:dyDescent="0.35">
      <c r="B19"/>
      <c r="C19"/>
      <c r="D19" s="43"/>
      <c r="E19"/>
      <c r="F19"/>
      <c r="G19"/>
      <c r="H19"/>
    </row>
    <row r="20" spans="1:18" ht="15" thickBot="1" x14ac:dyDescent="0.4">
      <c r="A20" s="45" t="s">
        <v>32</v>
      </c>
      <c r="B20" s="46"/>
      <c r="C20" s="47"/>
      <c r="D20" s="46"/>
      <c r="E20" s="48"/>
      <c r="F20"/>
      <c r="G20"/>
      <c r="H20"/>
    </row>
    <row r="21" spans="1:18" ht="15.5" thickTop="1" thickBot="1" x14ac:dyDescent="0.4">
      <c r="A21" s="49" t="s">
        <v>55</v>
      </c>
      <c r="B21" s="49" t="s">
        <v>56</v>
      </c>
      <c r="C21" s="24" t="s">
        <v>32</v>
      </c>
      <c r="E21" s="24" t="s">
        <v>33</v>
      </c>
      <c r="F21"/>
      <c r="G21"/>
      <c r="H21"/>
    </row>
    <row r="22" spans="1:18" ht="15" thickTop="1" x14ac:dyDescent="0.35">
      <c r="A22" s="50">
        <f>B23</f>
        <v>0.75</v>
      </c>
      <c r="B22" s="51">
        <v>1</v>
      </c>
      <c r="C22" s="52" t="s">
        <v>57</v>
      </c>
      <c r="D22" s="52"/>
      <c r="E22" s="52" t="s">
        <v>58</v>
      </c>
      <c r="F22"/>
      <c r="G22"/>
      <c r="H22"/>
    </row>
    <row r="23" spans="1:18" x14ac:dyDescent="0.35">
      <c r="A23" s="53">
        <f>B24</f>
        <v>0.5</v>
      </c>
      <c r="B23" s="54">
        <v>0.75</v>
      </c>
      <c r="C23" s="1" t="s">
        <v>59</v>
      </c>
      <c r="E23" s="1" t="s">
        <v>60</v>
      </c>
      <c r="F23"/>
      <c r="G23"/>
      <c r="H23"/>
    </row>
    <row r="24" spans="1:18" x14ac:dyDescent="0.35">
      <c r="A24" s="53">
        <f>B25</f>
        <v>0.25</v>
      </c>
      <c r="B24" s="54">
        <v>0.5</v>
      </c>
      <c r="C24" s="1" t="s">
        <v>61</v>
      </c>
      <c r="E24" s="1" t="s">
        <v>60</v>
      </c>
      <c r="F24"/>
      <c r="G24"/>
      <c r="H24"/>
    </row>
    <row r="25" spans="1:18" x14ac:dyDescent="0.35">
      <c r="A25" s="53">
        <f>B26</f>
        <v>0.15</v>
      </c>
      <c r="B25" s="54">
        <v>0.25</v>
      </c>
      <c r="C25" s="1" t="s">
        <v>62</v>
      </c>
      <c r="E25" s="1" t="s">
        <v>63</v>
      </c>
      <c r="F25"/>
      <c r="G25"/>
      <c r="H25"/>
    </row>
    <row r="26" spans="1:18" ht="15" thickBot="1" x14ac:dyDescent="0.4">
      <c r="A26" s="55">
        <v>0</v>
      </c>
      <c r="B26" s="56">
        <v>0.15</v>
      </c>
      <c r="C26" s="46" t="s">
        <v>64</v>
      </c>
      <c r="D26" s="46"/>
      <c r="E26" s="46" t="s">
        <v>65</v>
      </c>
      <c r="F26"/>
      <c r="G26"/>
      <c r="H26"/>
    </row>
    <row r="27" spans="1:18" ht="15" thickTop="1" x14ac:dyDescent="0.35">
      <c r="F27"/>
      <c r="G27"/>
      <c r="H27"/>
    </row>
    <row r="29" spans="1:18" ht="15" thickBot="1" x14ac:dyDescent="0.4">
      <c r="A29" s="24" t="s">
        <v>66</v>
      </c>
      <c r="O29" s="24"/>
      <c r="P29" s="10"/>
      <c r="R29" s="24"/>
    </row>
    <row r="30" spans="1:18" ht="15" thickTop="1" x14ac:dyDescent="0.35">
      <c r="A30" s="57"/>
      <c r="B30" s="58" t="s">
        <v>67</v>
      </c>
      <c r="C30" s="59">
        <v>150</v>
      </c>
      <c r="D30" s="58" t="s">
        <v>68</v>
      </c>
      <c r="E30" s="59">
        <v>5</v>
      </c>
      <c r="O30" s="24"/>
      <c r="P30" s="10"/>
      <c r="R30" s="24"/>
    </row>
    <row r="31" spans="1:18" ht="15" thickBot="1" x14ac:dyDescent="0.4">
      <c r="A31" s="60" t="s">
        <v>51</v>
      </c>
      <c r="B31" s="61" t="s">
        <v>69</v>
      </c>
      <c r="C31" s="61" t="s">
        <v>50</v>
      </c>
      <c r="D31" s="61" t="s">
        <v>70</v>
      </c>
      <c r="E31" s="61" t="s">
        <v>50</v>
      </c>
      <c r="O31" s="24"/>
      <c r="P31" s="10"/>
      <c r="R31" s="24"/>
    </row>
    <row r="32" spans="1:18" ht="15" thickTop="1" x14ac:dyDescent="0.35">
      <c r="A32" s="10">
        <v>1</v>
      </c>
      <c r="B32" s="62"/>
      <c r="C32" s="10"/>
      <c r="O32" s="7"/>
      <c r="P32" s="63"/>
      <c r="Q32" s="63"/>
    </row>
    <row r="33" spans="1:17" x14ac:dyDescent="0.35">
      <c r="A33" s="10">
        <v>2</v>
      </c>
      <c r="B33" s="62">
        <v>0.25</v>
      </c>
      <c r="C33" s="64">
        <f>ROUND($C$30*B33,1)</f>
        <v>37.5</v>
      </c>
      <c r="D33" s="62">
        <v>0.5</v>
      </c>
      <c r="E33" s="64">
        <f>ROUND($E$30*D33,1)</f>
        <v>2.5</v>
      </c>
      <c r="O33" s="7"/>
      <c r="P33" s="63"/>
      <c r="Q33" s="63"/>
    </row>
    <row r="34" spans="1:17" x14ac:dyDescent="0.35">
      <c r="A34" s="10">
        <v>3</v>
      </c>
      <c r="B34" s="62">
        <v>0.34</v>
      </c>
      <c r="C34" s="64">
        <f t="shared" ref="C34:C36" si="2">ROUND($C$30*B34,1)</f>
        <v>51</v>
      </c>
      <c r="D34" s="62">
        <v>1</v>
      </c>
      <c r="E34" s="64">
        <f t="shared" ref="E34" si="3">ROUND($E$30*D34,1)</f>
        <v>5</v>
      </c>
      <c r="O34" s="7"/>
      <c r="P34" s="63"/>
      <c r="Q34" s="63"/>
    </row>
    <row r="35" spans="1:17" x14ac:dyDescent="0.35">
      <c r="A35" s="10">
        <v>4</v>
      </c>
      <c r="B35" s="62">
        <v>0.67</v>
      </c>
      <c r="C35" s="64">
        <f t="shared" si="2"/>
        <v>100.5</v>
      </c>
      <c r="D35" s="62">
        <v>7.0000000000000007E-2</v>
      </c>
      <c r="E35" s="64">
        <f>ROUND($C$30*D35,1)</f>
        <v>10.5</v>
      </c>
      <c r="O35" s="7"/>
      <c r="P35" s="63"/>
      <c r="Q35" s="63"/>
    </row>
    <row r="36" spans="1:17" ht="15" thickBot="1" x14ac:dyDescent="0.4">
      <c r="A36" s="61">
        <v>5</v>
      </c>
      <c r="B36" s="65">
        <v>0.9</v>
      </c>
      <c r="C36" s="66">
        <f t="shared" si="2"/>
        <v>135</v>
      </c>
      <c r="D36" s="65">
        <v>0.16</v>
      </c>
      <c r="E36" s="66">
        <f>ROUND($C$30*D36,1)</f>
        <v>24</v>
      </c>
      <c r="O36" s="7"/>
      <c r="P36" s="63"/>
      <c r="Q36" s="63"/>
    </row>
    <row r="37" spans="1:17" ht="15" thickTop="1" x14ac:dyDescent="0.35">
      <c r="B37" s="67"/>
      <c r="O37" s="10"/>
    </row>
    <row r="38" spans="1:17" x14ac:dyDescent="0.35">
      <c r="B38" s="67"/>
      <c r="O38" s="10"/>
    </row>
    <row r="39" spans="1:17" ht="15" thickBot="1" x14ac:dyDescent="0.4">
      <c r="A39" s="24" t="s">
        <v>71</v>
      </c>
      <c r="B39" s="67"/>
      <c r="O39" s="10"/>
    </row>
    <row r="40" spans="1:17" ht="15.5" thickTop="1" thickBot="1" x14ac:dyDescent="0.4">
      <c r="A40" s="68" t="s">
        <v>49</v>
      </c>
      <c r="B40" s="69" t="s">
        <v>72</v>
      </c>
      <c r="C40" s="70">
        <v>1</v>
      </c>
      <c r="D40" s="70">
        <v>2</v>
      </c>
      <c r="E40" s="70">
        <v>3</v>
      </c>
      <c r="F40" s="70">
        <v>4</v>
      </c>
      <c r="G40" s="70">
        <v>5</v>
      </c>
      <c r="O40" s="10"/>
    </row>
    <row r="41" spans="1:17" ht="15" thickTop="1" x14ac:dyDescent="0.35">
      <c r="A41" s="1" t="s">
        <v>73</v>
      </c>
      <c r="B41"/>
      <c r="C41" s="71">
        <v>0</v>
      </c>
      <c r="D41" s="71">
        <v>1.1325000000000001</v>
      </c>
      <c r="E41" s="71">
        <v>3.2644000000000002</v>
      </c>
      <c r="F41" s="71">
        <v>7.18025</v>
      </c>
      <c r="G41" s="71">
        <v>15.33</v>
      </c>
      <c r="O41" s="10"/>
    </row>
    <row r="42" spans="1:17" x14ac:dyDescent="0.35">
      <c r="A42" s="1" t="s">
        <v>74</v>
      </c>
      <c r="B42"/>
      <c r="C42" s="72">
        <v>1000</v>
      </c>
      <c r="D42" s="72">
        <v>2.18E-2</v>
      </c>
      <c r="E42" s="72">
        <v>1.6E-2</v>
      </c>
      <c r="F42" s="72">
        <v>8.0000000000000002E-3</v>
      </c>
      <c r="G42" s="72">
        <v>5.0000000000000001E-3</v>
      </c>
      <c r="O42" s="10"/>
    </row>
    <row r="43" spans="1:17" x14ac:dyDescent="0.35">
      <c r="A43" s="1" t="s">
        <v>75</v>
      </c>
      <c r="B43"/>
      <c r="C43" s="71">
        <v>0</v>
      </c>
      <c r="D43" s="71">
        <v>4000</v>
      </c>
      <c r="E43" s="71">
        <v>7735</v>
      </c>
      <c r="F43" s="71">
        <v>17916</v>
      </c>
      <c r="G43" s="71">
        <v>36000</v>
      </c>
      <c r="O43" s="10"/>
    </row>
    <row r="44" spans="1:17" x14ac:dyDescent="0.35">
      <c r="A44" s="73" t="s">
        <v>76</v>
      </c>
      <c r="B44"/>
      <c r="C44" s="74">
        <f>VLOOKUP(C$40,$A$32:$E$36,5,0)</f>
        <v>0</v>
      </c>
      <c r="D44" s="74">
        <f t="shared" ref="D44:G44" si="4">VLOOKUP(D$40,$A$32:$E$36,5,0)</f>
        <v>2.5</v>
      </c>
      <c r="E44" s="74">
        <f t="shared" si="4"/>
        <v>5</v>
      </c>
      <c r="F44" s="74">
        <f t="shared" si="4"/>
        <v>10.5</v>
      </c>
      <c r="G44" s="74">
        <f t="shared" si="4"/>
        <v>24</v>
      </c>
      <c r="J44" s="10"/>
      <c r="K44" s="10"/>
      <c r="L44" s="10"/>
      <c r="M44" s="10"/>
      <c r="N44" s="10"/>
    </row>
    <row r="45" spans="1:17" x14ac:dyDescent="0.35">
      <c r="A45" s="73" t="s">
        <v>77</v>
      </c>
      <c r="B45"/>
      <c r="C45" s="74">
        <v>0</v>
      </c>
      <c r="D45" s="74">
        <f>VLOOKUP(D$40,$A$32:$C$36,3,0)</f>
        <v>37.5</v>
      </c>
      <c r="E45" s="74">
        <f>VLOOKUP(E$40,$A$32:$C$36,3,0)</f>
        <v>51</v>
      </c>
      <c r="F45" s="74">
        <f>VLOOKUP(F$40,$A$32:$C$36,3,0)</f>
        <v>100.5</v>
      </c>
      <c r="G45" s="74">
        <f>VLOOKUP(G$40,$A$32:$C$36,3,0)</f>
        <v>135</v>
      </c>
    </row>
    <row r="46" spans="1:17" ht="15" thickBot="1" x14ac:dyDescent="0.4">
      <c r="A46" s="46" t="s">
        <v>78</v>
      </c>
      <c r="B46" s="75"/>
      <c r="C46" s="76">
        <v>0</v>
      </c>
      <c r="D46" s="76">
        <v>18</v>
      </c>
      <c r="E46" s="76">
        <v>65.849999999999994</v>
      </c>
      <c r="F46" s="76">
        <v>560</v>
      </c>
      <c r="G46" s="76">
        <v>1250</v>
      </c>
    </row>
    <row r="47" spans="1:17" ht="15" thickTop="1" x14ac:dyDescent="0.35">
      <c r="A47" s="18"/>
      <c r="I47"/>
      <c r="J47"/>
      <c r="K47"/>
      <c r="L47"/>
      <c r="M47"/>
      <c r="N47"/>
    </row>
    <row r="48" spans="1:17" x14ac:dyDescent="0.35">
      <c r="A48" s="18"/>
    </row>
    <row r="49" spans="1:14" x14ac:dyDescent="0.35">
      <c r="A49" s="18"/>
      <c r="I49"/>
      <c r="J49"/>
      <c r="K49"/>
      <c r="L49"/>
      <c r="M49"/>
      <c r="N49"/>
    </row>
    <row r="50" spans="1:14" x14ac:dyDescent="0.35">
      <c r="A50" s="18"/>
      <c r="I50"/>
      <c r="J50"/>
      <c r="K50"/>
      <c r="L50"/>
      <c r="M50"/>
      <c r="N50"/>
    </row>
    <row r="51" spans="1:14" x14ac:dyDescent="0.35">
      <c r="A51" s="18"/>
    </row>
    <row r="52" spans="1:14" x14ac:dyDescent="0.35">
      <c r="C52"/>
    </row>
    <row r="53" spans="1:14" x14ac:dyDescent="0.35">
      <c r="C53"/>
    </row>
    <row r="58" spans="1:14" x14ac:dyDescent="0.35">
      <c r="B58"/>
      <c r="C58"/>
      <c r="D58"/>
    </row>
    <row r="59" spans="1:14" x14ac:dyDescent="0.35">
      <c r="B59"/>
      <c r="C59"/>
      <c r="D59"/>
    </row>
    <row r="60" spans="1:14" x14ac:dyDescent="0.35">
      <c r="B60"/>
      <c r="C60"/>
      <c r="D60"/>
    </row>
    <row r="61" spans="1:14" x14ac:dyDescent="0.35">
      <c r="B61"/>
      <c r="C61"/>
      <c r="D61"/>
    </row>
    <row r="62" spans="1:14" x14ac:dyDescent="0.35">
      <c r="B62"/>
      <c r="C62"/>
      <c r="D62"/>
    </row>
    <row r="63" spans="1:14" x14ac:dyDescent="0.35">
      <c r="B63"/>
      <c r="C63"/>
      <c r="D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Air Science Inc.</vt:lpstr>
      <vt:lpstr>Baghouse Calculator</vt:lpstr>
      <vt:lpstr>BAPC Factors</vt:lpstr>
      <vt:lpstr>'Air Science Inc.'!Print_Area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Teasyatwho</dc:creator>
  <cp:lastModifiedBy>Shaleen Gearhart</cp:lastModifiedBy>
  <dcterms:created xsi:type="dcterms:W3CDTF">2025-04-08T18:16:41Z</dcterms:created>
  <dcterms:modified xsi:type="dcterms:W3CDTF">2025-04-09T20:32:57Z</dcterms:modified>
</cp:coreProperties>
</file>